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4505" yWindow="-15" windowWidth="14310" windowHeight="14940"/>
  </bookViews>
  <sheets>
    <sheet name="Rekapitulace stavby" sheetId="1" r:id="rId1"/>
    <sheet name="Na Náměti" sheetId="2" r:id="rId2"/>
  </sheets>
  <definedNames>
    <definedName name="_xlnm.Print_Titles" localSheetId="1">'Na Náměti'!$129:$129</definedName>
    <definedName name="_xlnm.Print_Titles" localSheetId="0">'Rekapitulace stavby'!$85:$85</definedName>
    <definedName name="_xlnm.Print_Area" localSheetId="1">'Na Náměti'!$C$4:$Q$70,'Na Náměti'!$C$76:$Q$114,'Na Náměti'!$C$120:$Q$341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K321" i="2" l="1"/>
  <c r="AA321" i="2" s="1"/>
  <c r="K318" i="2"/>
  <c r="K319" i="2"/>
  <c r="BK321" i="2"/>
  <c r="BI321" i="2"/>
  <c r="BH321" i="2"/>
  <c r="BG321" i="2"/>
  <c r="BF321" i="2"/>
  <c r="W321" i="2"/>
  <c r="N321" i="2"/>
  <c r="BE321" i="2" s="1"/>
  <c r="BK320" i="2"/>
  <c r="BI320" i="2"/>
  <c r="BH320" i="2"/>
  <c r="BG320" i="2"/>
  <c r="BF320" i="2"/>
  <c r="AA320" i="2"/>
  <c r="Y320" i="2"/>
  <c r="W320" i="2"/>
  <c r="N320" i="2"/>
  <c r="BE320" i="2" s="1"/>
  <c r="BK318" i="2"/>
  <c r="BI318" i="2"/>
  <c r="BH318" i="2"/>
  <c r="BG318" i="2"/>
  <c r="BF318" i="2"/>
  <c r="AA318" i="2"/>
  <c r="Y318" i="2"/>
  <c r="W318" i="2"/>
  <c r="N318" i="2"/>
  <c r="BE318" i="2" s="1"/>
  <c r="K289" i="2"/>
  <c r="K290" i="2" s="1"/>
  <c r="K288" i="2" s="1"/>
  <c r="K286" i="2"/>
  <c r="K287" i="2" s="1"/>
  <c r="K293" i="2" s="1"/>
  <c r="K282" i="2"/>
  <c r="K283" i="2" s="1"/>
  <c r="K279" i="2"/>
  <c r="K280" i="2" s="1"/>
  <c r="K278" i="2" s="1"/>
  <c r="K276" i="2"/>
  <c r="K275" i="2" s="1"/>
  <c r="BK297" i="2"/>
  <c r="BI297" i="2"/>
  <c r="BH297" i="2"/>
  <c r="BG297" i="2"/>
  <c r="BF297" i="2"/>
  <c r="AA297" i="2"/>
  <c r="Y297" i="2"/>
  <c r="W297" i="2"/>
  <c r="N297" i="2"/>
  <c r="BE297" i="2" s="1"/>
  <c r="BK296" i="2"/>
  <c r="BI296" i="2"/>
  <c r="BH296" i="2"/>
  <c r="BG296" i="2"/>
  <c r="BF296" i="2"/>
  <c r="AA296" i="2"/>
  <c r="Y296" i="2"/>
  <c r="W296" i="2"/>
  <c r="N296" i="2"/>
  <c r="BE296" i="2" s="1"/>
  <c r="BK295" i="2"/>
  <c r="BI295" i="2"/>
  <c r="BH295" i="2"/>
  <c r="BG295" i="2"/>
  <c r="BF295" i="2"/>
  <c r="AA295" i="2"/>
  <c r="Y295" i="2"/>
  <c r="W295" i="2"/>
  <c r="N295" i="2"/>
  <c r="BE295" i="2" s="1"/>
  <c r="BK294" i="2"/>
  <c r="BI294" i="2"/>
  <c r="BH294" i="2"/>
  <c r="BG294" i="2"/>
  <c r="BF294" i="2"/>
  <c r="AA294" i="2"/>
  <c r="Y294" i="2"/>
  <c r="W294" i="2"/>
  <c r="N294" i="2"/>
  <c r="BE294" i="2" s="1"/>
  <c r="BI293" i="2"/>
  <c r="BH293" i="2"/>
  <c r="BG293" i="2"/>
  <c r="BF293" i="2"/>
  <c r="BI292" i="2"/>
  <c r="BH292" i="2"/>
  <c r="BG292" i="2"/>
  <c r="BF292" i="2"/>
  <c r="BI291" i="2"/>
  <c r="BH291" i="2"/>
  <c r="BG291" i="2"/>
  <c r="BF291" i="2"/>
  <c r="BI288" i="2"/>
  <c r="BH288" i="2"/>
  <c r="BG288" i="2"/>
  <c r="BF288" i="2"/>
  <c r="BI285" i="2"/>
  <c r="BH285" i="2"/>
  <c r="BG285" i="2"/>
  <c r="BF285" i="2"/>
  <c r="BI284" i="2"/>
  <c r="BH284" i="2"/>
  <c r="BG284" i="2"/>
  <c r="BF284" i="2"/>
  <c r="BI281" i="2"/>
  <c r="BH281" i="2"/>
  <c r="BG281" i="2"/>
  <c r="BF281" i="2"/>
  <c r="BI278" i="2"/>
  <c r="BH278" i="2"/>
  <c r="BG278" i="2"/>
  <c r="BF278" i="2"/>
  <c r="BI277" i="2"/>
  <c r="BH277" i="2"/>
  <c r="BG277" i="2"/>
  <c r="BF277" i="2"/>
  <c r="BI275" i="2"/>
  <c r="BH275" i="2"/>
  <c r="BG275" i="2"/>
  <c r="BF275" i="2"/>
  <c r="Y321" i="2" l="1"/>
  <c r="AA278" i="2"/>
  <c r="Y278" i="2"/>
  <c r="W278" i="2"/>
  <c r="BK278" i="2"/>
  <c r="N278" i="2"/>
  <c r="BE278" i="2" s="1"/>
  <c r="BK293" i="2"/>
  <c r="N293" i="2"/>
  <c r="BE293" i="2" s="1"/>
  <c r="AA293" i="2"/>
  <c r="Y293" i="2"/>
  <c r="W293" i="2"/>
  <c r="K284" i="2"/>
  <c r="K281" i="2"/>
  <c r="BK288" i="2"/>
  <c r="N288" i="2"/>
  <c r="BE288" i="2" s="1"/>
  <c r="Y288" i="2"/>
  <c r="W288" i="2"/>
  <c r="AA288" i="2"/>
  <c r="K291" i="2"/>
  <c r="K285" i="2"/>
  <c r="K292" i="2"/>
  <c r="K277" i="2"/>
  <c r="BK275" i="2"/>
  <c r="W275" i="2"/>
  <c r="N275" i="2"/>
  <c r="BE275" i="2" s="1"/>
  <c r="AA275" i="2"/>
  <c r="Y275" i="2"/>
  <c r="W285" i="2" l="1"/>
  <c r="BK285" i="2"/>
  <c r="N285" i="2"/>
  <c r="BE285" i="2" s="1"/>
  <c r="AA285" i="2"/>
  <c r="Y285" i="2"/>
  <c r="Y284" i="2"/>
  <c r="W284" i="2"/>
  <c r="N284" i="2"/>
  <c r="BE284" i="2" s="1"/>
  <c r="AA284" i="2"/>
  <c r="BK284" i="2"/>
  <c r="Y292" i="2"/>
  <c r="W292" i="2"/>
  <c r="BK292" i="2"/>
  <c r="AA292" i="2"/>
  <c r="N292" i="2"/>
  <c r="BE292" i="2" s="1"/>
  <c r="AA281" i="2"/>
  <c r="Y281" i="2"/>
  <c r="W281" i="2"/>
  <c r="BK281" i="2"/>
  <c r="N281" i="2"/>
  <c r="BE281" i="2" s="1"/>
  <c r="Y291" i="2"/>
  <c r="W291" i="2"/>
  <c r="BK291" i="2"/>
  <c r="N291" i="2"/>
  <c r="BE291" i="2" s="1"/>
  <c r="AA291" i="2"/>
  <c r="BK277" i="2"/>
  <c r="Y277" i="2"/>
  <c r="W277" i="2"/>
  <c r="N277" i="2"/>
  <c r="BE277" i="2" s="1"/>
  <c r="AA277" i="2"/>
  <c r="BK330" i="2" l="1"/>
  <c r="BI330" i="2"/>
  <c r="BH330" i="2"/>
  <c r="BG330" i="2"/>
  <c r="BF330" i="2"/>
  <c r="AA330" i="2"/>
  <c r="Y330" i="2"/>
  <c r="W330" i="2"/>
  <c r="N330" i="2"/>
  <c r="BK315" i="2" l="1"/>
  <c r="BI315" i="2"/>
  <c r="BH315" i="2"/>
  <c r="BG315" i="2"/>
  <c r="BF315" i="2"/>
  <c r="AA315" i="2"/>
  <c r="Y315" i="2"/>
  <c r="W315" i="2"/>
  <c r="N315" i="2"/>
  <c r="BK312" i="2"/>
  <c r="BI312" i="2"/>
  <c r="BH312" i="2"/>
  <c r="BG312" i="2"/>
  <c r="BF312" i="2"/>
  <c r="AA312" i="2"/>
  <c r="Y312" i="2"/>
  <c r="W312" i="2"/>
  <c r="N312" i="2"/>
  <c r="BK311" i="2"/>
  <c r="BI311" i="2"/>
  <c r="BH311" i="2"/>
  <c r="BG311" i="2"/>
  <c r="BF311" i="2"/>
  <c r="AA311" i="2"/>
  <c r="Y311" i="2"/>
  <c r="W311" i="2"/>
  <c r="N311" i="2"/>
  <c r="BI234" i="2" l="1"/>
  <c r="BH234" i="2"/>
  <c r="BG234" i="2"/>
  <c r="BF234" i="2"/>
  <c r="K234" i="2"/>
  <c r="N234" i="2" s="1"/>
  <c r="BI226" i="2"/>
  <c r="BH226" i="2"/>
  <c r="BG226" i="2"/>
  <c r="BF226" i="2"/>
  <c r="K226" i="2"/>
  <c r="N226" i="2" s="1"/>
  <c r="K208" i="2"/>
  <c r="BI208" i="2" l="1"/>
  <c r="BH208" i="2"/>
  <c r="BG208" i="2"/>
  <c r="BF208" i="2"/>
  <c r="N208" i="2" l="1"/>
  <c r="BI202" i="2"/>
  <c r="BH202" i="2"/>
  <c r="BG202" i="2"/>
  <c r="BF202" i="2"/>
  <c r="K202" i="2"/>
  <c r="BK202" i="2" s="1"/>
  <c r="K201" i="2"/>
  <c r="K200" i="2" s="1"/>
  <c r="AA202" i="2" l="1"/>
  <c r="Y202" i="2"/>
  <c r="N202" i="2"/>
  <c r="BE202" i="2" s="1"/>
  <c r="W202" i="2"/>
  <c r="BK304" i="2"/>
  <c r="BI304" i="2"/>
  <c r="BH304" i="2"/>
  <c r="BG304" i="2"/>
  <c r="BF304" i="2"/>
  <c r="AA304" i="2"/>
  <c r="Y304" i="2"/>
  <c r="W304" i="2"/>
  <c r="N304" i="2"/>
  <c r="N303" i="2"/>
  <c r="BE303" i="2" s="1"/>
  <c r="BK303" i="2"/>
  <c r="BI303" i="2"/>
  <c r="BH303" i="2"/>
  <c r="BG303" i="2"/>
  <c r="BF303" i="2"/>
  <c r="AA303" i="2"/>
  <c r="Y303" i="2"/>
  <c r="W303" i="2"/>
  <c r="D105" i="2" l="1"/>
  <c r="D104" i="2"/>
  <c r="D103" i="2"/>
  <c r="D102" i="2"/>
  <c r="D101" i="2"/>
  <c r="D100" i="2"/>
  <c r="D99" i="2"/>
  <c r="D98" i="2"/>
  <c r="D97" i="2"/>
  <c r="D96" i="2"/>
  <c r="D95" i="2"/>
  <c r="D94" i="2"/>
  <c r="BK313" i="2"/>
  <c r="BI313" i="2"/>
  <c r="BH313" i="2"/>
  <c r="BG313" i="2"/>
  <c r="BF313" i="2"/>
  <c r="AA313" i="2"/>
  <c r="Y313" i="2"/>
  <c r="W313" i="2"/>
  <c r="N313" i="2"/>
  <c r="N335" i="2"/>
  <c r="N334" i="2"/>
  <c r="N333" i="2"/>
  <c r="BI335" i="2"/>
  <c r="BH335" i="2"/>
  <c r="BG335" i="2"/>
  <c r="BF335" i="2"/>
  <c r="BI334" i="2"/>
  <c r="BH334" i="2"/>
  <c r="BG334" i="2"/>
  <c r="BF334" i="2"/>
  <c r="BI333" i="2"/>
  <c r="BH333" i="2"/>
  <c r="BG333" i="2"/>
  <c r="BF333" i="2"/>
  <c r="BE333" i="2"/>
  <c r="BI267" i="2"/>
  <c r="BH267" i="2"/>
  <c r="BG267" i="2"/>
  <c r="BF267" i="2"/>
  <c r="N267" i="2"/>
  <c r="BK266" i="2"/>
  <c r="BI266" i="2"/>
  <c r="BH266" i="2"/>
  <c r="BG266" i="2"/>
  <c r="BF266" i="2"/>
  <c r="AA266" i="2"/>
  <c r="Y266" i="2"/>
  <c r="W266" i="2"/>
  <c r="N266" i="2"/>
  <c r="BI265" i="2"/>
  <c r="BH265" i="2"/>
  <c r="BG265" i="2"/>
  <c r="BF265" i="2"/>
  <c r="N265" i="2"/>
  <c r="BI264" i="2"/>
  <c r="BH264" i="2"/>
  <c r="BG264" i="2"/>
  <c r="BF264" i="2"/>
  <c r="N264" i="2"/>
  <c r="BK263" i="2"/>
  <c r="BI263" i="2"/>
  <c r="BH263" i="2"/>
  <c r="BG263" i="2"/>
  <c r="BF263" i="2"/>
  <c r="AA263" i="2"/>
  <c r="Y263" i="2"/>
  <c r="W263" i="2"/>
  <c r="N263" i="2"/>
  <c r="BK262" i="2"/>
  <c r="BI262" i="2"/>
  <c r="BH262" i="2"/>
  <c r="BG262" i="2"/>
  <c r="BF262" i="2"/>
  <c r="AA262" i="2"/>
  <c r="Y262" i="2"/>
  <c r="W262" i="2"/>
  <c r="N262" i="2"/>
  <c r="N261" i="2"/>
  <c r="K133" i="2"/>
  <c r="BI260" i="2"/>
  <c r="BH260" i="2"/>
  <c r="BG260" i="2"/>
  <c r="BF260" i="2"/>
  <c r="N260" i="2"/>
  <c r="BI259" i="2"/>
  <c r="BH259" i="2"/>
  <c r="BG259" i="2"/>
  <c r="BF259" i="2"/>
  <c r="N259" i="2"/>
  <c r="BI268" i="2"/>
  <c r="BH268" i="2"/>
  <c r="BG268" i="2"/>
  <c r="BF268" i="2"/>
  <c r="N268" i="2"/>
  <c r="BI261" i="2"/>
  <c r="BH261" i="2"/>
  <c r="BG261" i="2"/>
  <c r="BF261" i="2"/>
  <c r="BI258" i="2"/>
  <c r="BH258" i="2"/>
  <c r="BG258" i="2"/>
  <c r="BF258" i="2"/>
  <c r="N258" i="2"/>
  <c r="BI257" i="2"/>
  <c r="BH257" i="2"/>
  <c r="BG257" i="2"/>
  <c r="BF257" i="2"/>
  <c r="N257" i="2"/>
  <c r="BK256" i="2"/>
  <c r="BI256" i="2"/>
  <c r="BH256" i="2"/>
  <c r="BG256" i="2"/>
  <c r="BF256" i="2"/>
  <c r="AA256" i="2"/>
  <c r="Y256" i="2"/>
  <c r="W256" i="2"/>
  <c r="N256" i="2"/>
  <c r="BI324" i="2"/>
  <c r="BH324" i="2"/>
  <c r="BG324" i="2"/>
  <c r="BF324" i="2"/>
  <c r="K323" i="2"/>
  <c r="N328" i="2"/>
  <c r="BE328" i="2" s="1"/>
  <c r="N327" i="2"/>
  <c r="BK328" i="2"/>
  <c r="BI328" i="2"/>
  <c r="BH328" i="2"/>
  <c r="BG328" i="2"/>
  <c r="BF328" i="2"/>
  <c r="AA328" i="2"/>
  <c r="Y328" i="2"/>
  <c r="W328" i="2"/>
  <c r="BK327" i="2"/>
  <c r="BI327" i="2"/>
  <c r="BH327" i="2"/>
  <c r="BG327" i="2"/>
  <c r="BF327" i="2"/>
  <c r="AA327" i="2"/>
  <c r="Y327" i="2"/>
  <c r="W327" i="2"/>
  <c r="BE327" i="2" l="1"/>
  <c r="N332" i="2"/>
  <c r="K141" i="2"/>
  <c r="K140" i="2"/>
  <c r="K324" i="2"/>
  <c r="N255" i="2"/>
  <c r="N105" i="2" s="1"/>
  <c r="BK324" i="2" l="1"/>
  <c r="N324" i="2"/>
  <c r="BE324" i="2" s="1"/>
  <c r="Y324" i="2"/>
  <c r="W324" i="2"/>
  <c r="AA324" i="2"/>
  <c r="K254" i="2"/>
  <c r="K253" i="2"/>
  <c r="K252" i="2" s="1"/>
  <c r="K251" i="2"/>
  <c r="K250" i="2"/>
  <c r="K247" i="2"/>
  <c r="N247" i="2" s="1"/>
  <c r="BI247" i="2"/>
  <c r="BH247" i="2"/>
  <c r="BG247" i="2"/>
  <c r="BF247" i="2"/>
  <c r="BE247" i="2"/>
  <c r="BI246" i="2"/>
  <c r="BH246" i="2"/>
  <c r="BG246" i="2"/>
  <c r="BF246" i="2"/>
  <c r="N246" i="2"/>
  <c r="BI245" i="2"/>
  <c r="BH245" i="2"/>
  <c r="BG245" i="2"/>
  <c r="BF245" i="2"/>
  <c r="N245" i="2"/>
  <c r="N241" i="2"/>
  <c r="N242" i="2"/>
  <c r="N240" i="2"/>
  <c r="N239" i="2"/>
  <c r="K243" i="2"/>
  <c r="N243" i="2" s="1"/>
  <c r="BI243" i="2"/>
  <c r="BH243" i="2"/>
  <c r="BG243" i="2"/>
  <c r="BF243" i="2"/>
  <c r="BE243" i="2"/>
  <c r="BI242" i="2"/>
  <c r="BH242" i="2"/>
  <c r="BG242" i="2"/>
  <c r="BF242" i="2"/>
  <c r="BK241" i="2"/>
  <c r="BI241" i="2"/>
  <c r="BH241" i="2"/>
  <c r="BG241" i="2"/>
  <c r="BF241" i="2"/>
  <c r="AA241" i="2"/>
  <c r="Y241" i="2"/>
  <c r="W241" i="2"/>
  <c r="BK240" i="2"/>
  <c r="BI240" i="2"/>
  <c r="BH240" i="2"/>
  <c r="BG240" i="2"/>
  <c r="BF240" i="2"/>
  <c r="BE240" i="2"/>
  <c r="AA240" i="2"/>
  <c r="Y240" i="2"/>
  <c r="W240" i="2"/>
  <c r="BI239" i="2"/>
  <c r="BH239" i="2"/>
  <c r="BG239" i="2"/>
  <c r="BF239" i="2"/>
  <c r="AA239" i="2"/>
  <c r="K224" i="2"/>
  <c r="K203" i="2"/>
  <c r="K192" i="2"/>
  <c r="N192" i="2" s="1"/>
  <c r="BE192" i="2" s="1"/>
  <c r="K186" i="2"/>
  <c r="N186" i="2" s="1"/>
  <c r="BE239" i="2" s="1"/>
  <c r="K184" i="2"/>
  <c r="K183" i="2" s="1"/>
  <c r="N183" i="2" s="1"/>
  <c r="BK183" i="2"/>
  <c r="BI183" i="2"/>
  <c r="BH183" i="2"/>
  <c r="BG183" i="2"/>
  <c r="BF183" i="2"/>
  <c r="BE183" i="2"/>
  <c r="AA183" i="2"/>
  <c r="Y183" i="2"/>
  <c r="W183" i="2"/>
  <c r="N179" i="2"/>
  <c r="BK186" i="2"/>
  <c r="BK238" i="2" s="1"/>
  <c r="BI186" i="2"/>
  <c r="BH186" i="2"/>
  <c r="BG186" i="2"/>
  <c r="BF186" i="2"/>
  <c r="BE186" i="2"/>
  <c r="AA186" i="2"/>
  <c r="AA244" i="2" s="1"/>
  <c r="Y186" i="2"/>
  <c r="Y244" i="2" s="1"/>
  <c r="W186" i="2"/>
  <c r="W244" i="2" s="1"/>
  <c r="BK185" i="2"/>
  <c r="BI185" i="2"/>
  <c r="BH185" i="2"/>
  <c r="BG185" i="2"/>
  <c r="BF185" i="2"/>
  <c r="BE185" i="2"/>
  <c r="AA185" i="2"/>
  <c r="Y185" i="2"/>
  <c r="W185" i="2"/>
  <c r="N185" i="2"/>
  <c r="BK181" i="2"/>
  <c r="BI181" i="2"/>
  <c r="BH181" i="2"/>
  <c r="BG181" i="2"/>
  <c r="BF181" i="2"/>
  <c r="BE181" i="2"/>
  <c r="AA181" i="2"/>
  <c r="Y181" i="2"/>
  <c r="W181" i="2"/>
  <c r="K181" i="2"/>
  <c r="N181" i="2" s="1"/>
  <c r="BI180" i="2"/>
  <c r="BH180" i="2"/>
  <c r="BG180" i="2"/>
  <c r="BF180" i="2"/>
  <c r="K180" i="2"/>
  <c r="N180" i="2" s="1"/>
  <c r="BK179" i="2"/>
  <c r="BI179" i="2"/>
  <c r="BH179" i="2"/>
  <c r="BG179" i="2"/>
  <c r="BF179" i="2"/>
  <c r="BE179" i="2"/>
  <c r="AA179" i="2"/>
  <c r="Y179" i="2"/>
  <c r="W179" i="2"/>
  <c r="BI192" i="2"/>
  <c r="BH192" i="2"/>
  <c r="BG192" i="2"/>
  <c r="BF192" i="2"/>
  <c r="BI191" i="2"/>
  <c r="BH191" i="2"/>
  <c r="BG191" i="2"/>
  <c r="BF191" i="2"/>
  <c r="K191" i="2"/>
  <c r="AA191" i="2" s="1"/>
  <c r="K190" i="2"/>
  <c r="Y247" i="2" s="1"/>
  <c r="BI189" i="2"/>
  <c r="BH189" i="2"/>
  <c r="BG189" i="2"/>
  <c r="BF189" i="2"/>
  <c r="K189" i="2"/>
  <c r="AA189" i="2" s="1"/>
  <c r="BK188" i="2"/>
  <c r="BI188" i="2"/>
  <c r="BH188" i="2"/>
  <c r="BG188" i="2"/>
  <c r="BF188" i="2"/>
  <c r="AA188" i="2"/>
  <c r="Y188" i="2"/>
  <c r="W188" i="2"/>
  <c r="N188" i="2"/>
  <c r="BE188" i="2" s="1"/>
  <c r="K169" i="2"/>
  <c r="K168" i="2"/>
  <c r="K159" i="2"/>
  <c r="K158" i="2"/>
  <c r="N143" i="2"/>
  <c r="N145" i="2"/>
  <c r="N146" i="2"/>
  <c r="BE146" i="2" s="1"/>
  <c r="N148" i="2"/>
  <c r="N149" i="2"/>
  <c r="K151" i="2"/>
  <c r="K154" i="2"/>
  <c r="K153" i="2"/>
  <c r="K152" i="2" s="1"/>
  <c r="K150" i="2"/>
  <c r="N150" i="2" s="1"/>
  <c r="K144" i="2"/>
  <c r="BK144" i="2" s="1"/>
  <c r="BI144" i="2"/>
  <c r="BH144" i="2"/>
  <c r="BG144" i="2"/>
  <c r="BF144" i="2"/>
  <c r="K147" i="2"/>
  <c r="N147" i="2" s="1"/>
  <c r="BE147" i="2" s="1"/>
  <c r="BI147" i="2"/>
  <c r="BH147" i="2"/>
  <c r="BG147" i="2"/>
  <c r="BF147" i="2"/>
  <c r="BK146" i="2"/>
  <c r="BI146" i="2"/>
  <c r="BH146" i="2"/>
  <c r="BG146" i="2"/>
  <c r="BF146" i="2"/>
  <c r="AA146" i="2"/>
  <c r="Y146" i="2"/>
  <c r="W146" i="2"/>
  <c r="BK234" i="2" l="1"/>
  <c r="W234" i="2"/>
  <c r="AA234" i="2"/>
  <c r="Y234" i="2"/>
  <c r="BK226" i="2"/>
  <c r="W226" i="2"/>
  <c r="AA226" i="2"/>
  <c r="Y226" i="2"/>
  <c r="BK208" i="2"/>
  <c r="W208" i="2"/>
  <c r="AA208" i="2"/>
  <c r="Y208" i="2"/>
  <c r="BK267" i="2"/>
  <c r="W267" i="2"/>
  <c r="W265" i="2"/>
  <c r="W264" i="2"/>
  <c r="AA265" i="2"/>
  <c r="Y264" i="2"/>
  <c r="BK264" i="2"/>
  <c r="Y267" i="2"/>
  <c r="Y265" i="2"/>
  <c r="BK265" i="2"/>
  <c r="AA264" i="2"/>
  <c r="AA267" i="2"/>
  <c r="W246" i="2"/>
  <c r="W242" i="2"/>
  <c r="Y245" i="2"/>
  <c r="BK261" i="2"/>
  <c r="W261" i="2"/>
  <c r="AA261" i="2"/>
  <c r="Y261" i="2"/>
  <c r="BK244" i="2"/>
  <c r="BK242" i="2"/>
  <c r="N238" i="2"/>
  <c r="N102" i="2" s="1"/>
  <c r="BK246" i="2"/>
  <c r="AA257" i="2"/>
  <c r="Y257" i="2"/>
  <c r="BK257" i="2"/>
  <c r="W257" i="2"/>
  <c r="Y268" i="2"/>
  <c r="BK268" i="2"/>
  <c r="AA268" i="2"/>
  <c r="W268" i="2"/>
  <c r="AA260" i="2"/>
  <c r="Y258" i="2"/>
  <c r="Y260" i="2"/>
  <c r="BK258" i="2"/>
  <c r="W258" i="2"/>
  <c r="BK259" i="2"/>
  <c r="BK260" i="2"/>
  <c r="W260" i="2"/>
  <c r="AA259" i="2"/>
  <c r="AA258" i="2"/>
  <c r="Y259" i="2"/>
  <c r="W259" i="2"/>
  <c r="AA247" i="2"/>
  <c r="W239" i="2"/>
  <c r="BK239" i="2"/>
  <c r="Y239" i="2"/>
  <c r="W245" i="2"/>
  <c r="BK245" i="2"/>
  <c r="W238" i="2"/>
  <c r="Y242" i="2"/>
  <c r="W243" i="2"/>
  <c r="BK243" i="2"/>
  <c r="BE245" i="2"/>
  <c r="Y246" i="2"/>
  <c r="Y238" i="2"/>
  <c r="BE241" i="2"/>
  <c r="AA242" i="2"/>
  <c r="Y243" i="2"/>
  <c r="AA246" i="2"/>
  <c r="W247" i="2"/>
  <c r="BK247" i="2"/>
  <c r="AA245" i="2"/>
  <c r="AA238" i="2"/>
  <c r="AA243" i="2"/>
  <c r="N244" i="2"/>
  <c r="N103" i="2" s="1"/>
  <c r="N178" i="2"/>
  <c r="BK147" i="2"/>
  <c r="BK191" i="2"/>
  <c r="N189" i="2"/>
  <c r="BK189" i="2"/>
  <c r="Y189" i="2"/>
  <c r="W192" i="2"/>
  <c r="W189" i="2"/>
  <c r="BK192" i="2"/>
  <c r="W191" i="2"/>
  <c r="Y192" i="2"/>
  <c r="AA192" i="2"/>
  <c r="N191" i="2"/>
  <c r="BE191" i="2" s="1"/>
  <c r="Y191" i="2"/>
  <c r="W147" i="2"/>
  <c r="W144" i="2"/>
  <c r="Y147" i="2"/>
  <c r="AA144" i="2"/>
  <c r="AA147" i="2"/>
  <c r="Y144" i="2"/>
  <c r="N144" i="2"/>
  <c r="BE144" i="2" s="1"/>
  <c r="K170" i="2"/>
  <c r="K167" i="2" s="1"/>
  <c r="BE189" i="2" l="1"/>
  <c r="BE246" i="2"/>
  <c r="BE242" i="2"/>
  <c r="N187" i="2"/>
  <c r="N94" i="2" s="1"/>
  <c r="K236" i="2" l="1"/>
  <c r="K235" i="2"/>
  <c r="K237" i="2"/>
  <c r="K229" i="2"/>
  <c r="K228" i="2"/>
  <c r="K227" i="2"/>
  <c r="K220" i="2"/>
  <c r="K219" i="2"/>
  <c r="K218" i="2"/>
  <c r="K221" i="2"/>
  <c r="K212" i="2"/>
  <c r="K209" i="2"/>
  <c r="K207" i="2"/>
  <c r="K172" i="2"/>
  <c r="K138" i="2"/>
  <c r="K137" i="2"/>
  <c r="K136" i="2"/>
  <c r="K135" i="2"/>
  <c r="K134" i="2"/>
  <c r="K215" i="2" l="1"/>
  <c r="K139" i="2"/>
  <c r="AA333" i="2"/>
  <c r="Y333" i="2"/>
  <c r="BK333" i="2"/>
  <c r="W333" i="2"/>
  <c r="AA334" i="2"/>
  <c r="Y334" i="2"/>
  <c r="BK334" i="2"/>
  <c r="W334" i="2"/>
  <c r="K173" i="2"/>
  <c r="W180" i="2"/>
  <c r="BK180" i="2"/>
  <c r="AA180" i="2"/>
  <c r="Y180" i="2"/>
  <c r="K214" i="2"/>
  <c r="N214" i="2" s="1"/>
  <c r="BE214" i="2" s="1"/>
  <c r="K176" i="2"/>
  <c r="N176" i="2" s="1"/>
  <c r="BE176" i="2" s="1"/>
  <c r="K213" i="2"/>
  <c r="N213" i="2" s="1"/>
  <c r="BE213" i="2" s="1"/>
  <c r="N225" i="2"/>
  <c r="BI225" i="2"/>
  <c r="BH225" i="2"/>
  <c r="BG225" i="2"/>
  <c r="BF225" i="2"/>
  <c r="N306" i="2"/>
  <c r="BE306" i="2" s="1"/>
  <c r="N302" i="2"/>
  <c r="BE302" i="2" s="1"/>
  <c r="N305" i="2"/>
  <c r="N301" i="2"/>
  <c r="N299" i="2"/>
  <c r="N300" i="2"/>
  <c r="N273" i="2"/>
  <c r="BE273" i="2" s="1"/>
  <c r="N271" i="2"/>
  <c r="BE271" i="2" s="1"/>
  <c r="N270" i="2"/>
  <c r="BE270" i="2" s="1"/>
  <c r="N254" i="2"/>
  <c r="N252" i="2"/>
  <c r="N251" i="2"/>
  <c r="N250" i="2"/>
  <c r="N249" i="2"/>
  <c r="N220" i="2"/>
  <c r="BE220" i="2" s="1"/>
  <c r="N221" i="2"/>
  <c r="BE221" i="2" s="1"/>
  <c r="N219" i="2"/>
  <c r="BE219" i="2" s="1"/>
  <c r="N218" i="2"/>
  <c r="BE218" i="2" s="1"/>
  <c r="N217" i="2"/>
  <c r="N215" i="2"/>
  <c r="BE215" i="2" s="1"/>
  <c r="N212" i="2"/>
  <c r="BE212" i="2" s="1"/>
  <c r="N209" i="2"/>
  <c r="N205" i="2"/>
  <c r="BE205" i="2" s="1"/>
  <c r="N203" i="2"/>
  <c r="BE203" i="2" s="1"/>
  <c r="N200" i="2"/>
  <c r="BE200" i="2" s="1"/>
  <c r="N199" i="2"/>
  <c r="N195" i="2"/>
  <c r="BE195" i="2" s="1"/>
  <c r="N196" i="2"/>
  <c r="BE196" i="2" s="1"/>
  <c r="N197" i="2"/>
  <c r="BE197" i="2" s="1"/>
  <c r="N194" i="2"/>
  <c r="BE194" i="2" s="1"/>
  <c r="N167" i="2"/>
  <c r="BE167" i="2" s="1"/>
  <c r="N166" i="2"/>
  <c r="BE166" i="2" s="1"/>
  <c r="N160" i="2"/>
  <c r="BE160" i="2" s="1"/>
  <c r="N159" i="2"/>
  <c r="N158" i="2"/>
  <c r="BE158" i="2" s="1"/>
  <c r="N157" i="2"/>
  <c r="BE157" i="2" s="1"/>
  <c r="N155" i="2"/>
  <c r="BE155" i="2" s="1"/>
  <c r="N154" i="2"/>
  <c r="BE154" i="2" s="1"/>
  <c r="N152" i="2"/>
  <c r="BE152" i="2" s="1"/>
  <c r="N151" i="2"/>
  <c r="BE151" i="2" s="1"/>
  <c r="BE150" i="2"/>
  <c r="BE149" i="2"/>
  <c r="BE148" i="2"/>
  <c r="BE143" i="2"/>
  <c r="N141" i="2"/>
  <c r="BE141" i="2" s="1"/>
  <c r="N140" i="2"/>
  <c r="BE140" i="2" s="1"/>
  <c r="N139" i="2"/>
  <c r="BE139" i="2" s="1"/>
  <c r="N138" i="2"/>
  <c r="BE138" i="2" s="1"/>
  <c r="N135" i="2"/>
  <c r="BE135" i="2" s="1"/>
  <c r="N134" i="2"/>
  <c r="BE134" i="2" s="1"/>
  <c r="N133" i="2"/>
  <c r="BE133" i="2" s="1"/>
  <c r="BK331" i="2"/>
  <c r="BI331" i="2"/>
  <c r="BH331" i="2"/>
  <c r="BG331" i="2"/>
  <c r="BF331" i="2"/>
  <c r="AA331" i="2"/>
  <c r="Y331" i="2"/>
  <c r="W331" i="2"/>
  <c r="N331" i="2"/>
  <c r="N314" i="2"/>
  <c r="N310" i="2"/>
  <c r="N309" i="2"/>
  <c r="BE309" i="2" s="1"/>
  <c r="N308" i="2"/>
  <c r="BE308" i="2" s="1"/>
  <c r="N326" i="2"/>
  <c r="N317" i="2" s="1"/>
  <c r="N325" i="2"/>
  <c r="N323" i="2"/>
  <c r="BE326" i="2" s="1"/>
  <c r="N322" i="2"/>
  <c r="N329" i="2"/>
  <c r="BK325" i="2"/>
  <c r="BI325" i="2"/>
  <c r="BH325" i="2"/>
  <c r="BG325" i="2"/>
  <c r="BF325" i="2"/>
  <c r="AA325" i="2"/>
  <c r="Y325" i="2"/>
  <c r="W325" i="2"/>
  <c r="BK326" i="2"/>
  <c r="BI326" i="2"/>
  <c r="BH326" i="2"/>
  <c r="BG326" i="2"/>
  <c r="BF326" i="2"/>
  <c r="AA326" i="2"/>
  <c r="Y326" i="2"/>
  <c r="W326" i="2"/>
  <c r="BK329" i="2"/>
  <c r="BI329" i="2"/>
  <c r="BH329" i="2"/>
  <c r="BG329" i="2"/>
  <c r="BF329" i="2"/>
  <c r="AA329" i="2"/>
  <c r="Y329" i="2"/>
  <c r="W329" i="2"/>
  <c r="N237" i="2"/>
  <c r="BE237" i="2" s="1"/>
  <c r="N236" i="2"/>
  <c r="BE236" i="2" s="1"/>
  <c r="N235" i="2"/>
  <c r="BE235" i="2" s="1"/>
  <c r="N231" i="2"/>
  <c r="BE231" i="2" s="1"/>
  <c r="K233" i="2"/>
  <c r="N229" i="2"/>
  <c r="BE229" i="2" s="1"/>
  <c r="N228" i="2"/>
  <c r="BE228" i="2" s="1"/>
  <c r="N227" i="2"/>
  <c r="BE227" i="2" s="1"/>
  <c r="N223" i="2"/>
  <c r="BE223" i="2" s="1"/>
  <c r="BK225" i="2"/>
  <c r="AA225" i="2"/>
  <c r="BI173" i="2"/>
  <c r="BH173" i="2"/>
  <c r="BG173" i="2"/>
  <c r="BF173" i="2"/>
  <c r="N173" i="2"/>
  <c r="K206" i="2"/>
  <c r="W206" i="2" s="1"/>
  <c r="K210" i="2"/>
  <c r="K174" i="2"/>
  <c r="BK174" i="2" s="1"/>
  <c r="K177" i="2"/>
  <c r="BK177" i="2" s="1"/>
  <c r="O8" i="2"/>
  <c r="M80" i="2" s="1"/>
  <c r="O10" i="2"/>
  <c r="E11" i="2"/>
  <c r="F82" i="2" s="1"/>
  <c r="O11" i="2"/>
  <c r="O13" i="2"/>
  <c r="E14" i="2"/>
  <c r="F127" i="2" s="1"/>
  <c r="O14" i="2"/>
  <c r="O16" i="2"/>
  <c r="E17" i="2"/>
  <c r="M126" i="2" s="1"/>
  <c r="O17" i="2"/>
  <c r="M24" i="2"/>
  <c r="AS88" i="1" s="1"/>
  <c r="AS87" i="1" s="1"/>
  <c r="F78" i="2"/>
  <c r="F80" i="2"/>
  <c r="M83" i="2"/>
  <c r="F122" i="2"/>
  <c r="F124" i="2"/>
  <c r="M127" i="2"/>
  <c r="W133" i="2"/>
  <c r="Y133" i="2"/>
  <c r="AA133" i="2"/>
  <c r="BF133" i="2"/>
  <c r="BA88" i="1" s="1"/>
  <c r="BA87" i="1" s="1"/>
  <c r="BG133" i="2"/>
  <c r="BH133" i="2"/>
  <c r="BI133" i="2"/>
  <c r="BK133" i="2"/>
  <c r="W134" i="2"/>
  <c r="Y134" i="2"/>
  <c r="AA134" i="2"/>
  <c r="BF134" i="2"/>
  <c r="BG134" i="2"/>
  <c r="BH134" i="2"/>
  <c r="BI134" i="2"/>
  <c r="BK134" i="2"/>
  <c r="W135" i="2"/>
  <c r="Y135" i="2"/>
  <c r="AA135" i="2"/>
  <c r="BF135" i="2"/>
  <c r="BG135" i="2"/>
  <c r="BH135" i="2"/>
  <c r="BI135" i="2"/>
  <c r="BK135" i="2"/>
  <c r="BF136" i="2"/>
  <c r="BG136" i="2"/>
  <c r="BH136" i="2"/>
  <c r="BI136" i="2"/>
  <c r="W138" i="2"/>
  <c r="Y138" i="2"/>
  <c r="AA138" i="2"/>
  <c r="BF138" i="2"/>
  <c r="BG138" i="2"/>
  <c r="BH138" i="2"/>
  <c r="BI138" i="2"/>
  <c r="BK138" i="2"/>
  <c r="W139" i="2"/>
  <c r="Y139" i="2"/>
  <c r="AA139" i="2"/>
  <c r="BF139" i="2"/>
  <c r="BG139" i="2"/>
  <c r="BH139" i="2"/>
  <c r="BI139" i="2"/>
  <c r="BK139" i="2"/>
  <c r="W140" i="2"/>
  <c r="Y140" i="2"/>
  <c r="AA140" i="2"/>
  <c r="BF140" i="2"/>
  <c r="BG140" i="2"/>
  <c r="BH140" i="2"/>
  <c r="BI140" i="2"/>
  <c r="BK140" i="2"/>
  <c r="W141" i="2"/>
  <c r="Y141" i="2"/>
  <c r="AA141" i="2"/>
  <c r="BF141" i="2"/>
  <c r="BG141" i="2"/>
  <c r="BH141" i="2"/>
  <c r="BI141" i="2"/>
  <c r="BK141" i="2"/>
  <c r="W143" i="2"/>
  <c r="Y143" i="2"/>
  <c r="AA143" i="2"/>
  <c r="BF143" i="2"/>
  <c r="BG143" i="2"/>
  <c r="BH143" i="2"/>
  <c r="BI143" i="2"/>
  <c r="BK143" i="2"/>
  <c r="BE145" i="2"/>
  <c r="W145" i="2"/>
  <c r="Y145" i="2"/>
  <c r="AA145" i="2"/>
  <c r="BF145" i="2"/>
  <c r="BG145" i="2"/>
  <c r="BH145" i="2"/>
  <c r="BI145" i="2"/>
  <c r="BK145" i="2"/>
  <c r="W148" i="2"/>
  <c r="Y148" i="2"/>
  <c r="AA148" i="2"/>
  <c r="BF148" i="2"/>
  <c r="BG148" i="2"/>
  <c r="BH148" i="2"/>
  <c r="BI148" i="2"/>
  <c r="BK148" i="2"/>
  <c r="W149" i="2"/>
  <c r="Y149" i="2"/>
  <c r="AA149" i="2"/>
  <c r="BF149" i="2"/>
  <c r="BG149" i="2"/>
  <c r="BH149" i="2"/>
  <c r="BI149" i="2"/>
  <c r="BK149" i="2"/>
  <c r="W150" i="2"/>
  <c r="Y150" i="2"/>
  <c r="AA150" i="2"/>
  <c r="BF150" i="2"/>
  <c r="BG150" i="2"/>
  <c r="BH150" i="2"/>
  <c r="BI150" i="2"/>
  <c r="BK150" i="2"/>
  <c r="W151" i="2"/>
  <c r="Y151" i="2"/>
  <c r="AA151" i="2"/>
  <c r="BF151" i="2"/>
  <c r="BG151" i="2"/>
  <c r="BH151" i="2"/>
  <c r="BI151" i="2"/>
  <c r="BK151" i="2"/>
  <c r="W152" i="2"/>
  <c r="Y152" i="2"/>
  <c r="AA152" i="2"/>
  <c r="BF152" i="2"/>
  <c r="BG152" i="2"/>
  <c r="BH152" i="2"/>
  <c r="BI152" i="2"/>
  <c r="BK152" i="2"/>
  <c r="W154" i="2"/>
  <c r="Y154" i="2"/>
  <c r="AA154" i="2"/>
  <c r="BF154" i="2"/>
  <c r="BG154" i="2"/>
  <c r="BH154" i="2"/>
  <c r="BI154" i="2"/>
  <c r="BK154" i="2"/>
  <c r="W155" i="2"/>
  <c r="Y155" i="2"/>
  <c r="AA155" i="2"/>
  <c r="BF155" i="2"/>
  <c r="BG155" i="2"/>
  <c r="BH155" i="2"/>
  <c r="BI155" i="2"/>
  <c r="BK155" i="2"/>
  <c r="W157" i="2"/>
  <c r="Y157" i="2"/>
  <c r="AA157" i="2"/>
  <c r="BF157" i="2"/>
  <c r="BG157" i="2"/>
  <c r="BH157" i="2"/>
  <c r="BI157" i="2"/>
  <c r="BK157" i="2"/>
  <c r="W158" i="2"/>
  <c r="Y158" i="2"/>
  <c r="AA158" i="2"/>
  <c r="BF158" i="2"/>
  <c r="BG158" i="2"/>
  <c r="BH158" i="2"/>
  <c r="BI158" i="2"/>
  <c r="BK158" i="2"/>
  <c r="W159" i="2"/>
  <c r="Y159" i="2"/>
  <c r="AA159" i="2"/>
  <c r="BF159" i="2"/>
  <c r="BG159" i="2"/>
  <c r="BH159" i="2"/>
  <c r="BI159" i="2"/>
  <c r="BK159" i="2"/>
  <c r="W160" i="2"/>
  <c r="Y160" i="2"/>
  <c r="AA160" i="2"/>
  <c r="BF160" i="2"/>
  <c r="BG160" i="2"/>
  <c r="BH160" i="2"/>
  <c r="BI160" i="2"/>
  <c r="BK160" i="2"/>
  <c r="W166" i="2"/>
  <c r="Y166" i="2"/>
  <c r="AA166" i="2"/>
  <c r="BF166" i="2"/>
  <c r="BG166" i="2"/>
  <c r="BH166" i="2"/>
  <c r="BI166" i="2"/>
  <c r="BK166" i="2"/>
  <c r="W167" i="2"/>
  <c r="Y167" i="2"/>
  <c r="AA167" i="2"/>
  <c r="BF167" i="2"/>
  <c r="BG167" i="2"/>
  <c r="BH167" i="2"/>
  <c r="BI167" i="2"/>
  <c r="BK167" i="2"/>
  <c r="W172" i="2"/>
  <c r="BF172" i="2"/>
  <c r="BG172" i="2"/>
  <c r="BH172" i="2"/>
  <c r="BI172" i="2"/>
  <c r="BK172" i="2"/>
  <c r="BE174" i="2"/>
  <c r="BF174" i="2"/>
  <c r="BG174" i="2"/>
  <c r="BH174" i="2"/>
  <c r="BI174" i="2"/>
  <c r="BF176" i="2"/>
  <c r="BG176" i="2"/>
  <c r="BH176" i="2"/>
  <c r="BI176" i="2"/>
  <c r="BF177" i="2"/>
  <c r="BG177" i="2"/>
  <c r="BH177" i="2"/>
  <c r="BI177" i="2"/>
  <c r="W194" i="2"/>
  <c r="Y194" i="2"/>
  <c r="AA194" i="2"/>
  <c r="BF194" i="2"/>
  <c r="BG194" i="2"/>
  <c r="BH194" i="2"/>
  <c r="BI194" i="2"/>
  <c r="BK194" i="2"/>
  <c r="W195" i="2"/>
  <c r="Y195" i="2"/>
  <c r="AA195" i="2"/>
  <c r="BF195" i="2"/>
  <c r="BG195" i="2"/>
  <c r="BH195" i="2"/>
  <c r="BI195" i="2"/>
  <c r="BK195" i="2"/>
  <c r="W196" i="2"/>
  <c r="Y196" i="2"/>
  <c r="AA196" i="2"/>
  <c r="BF196" i="2"/>
  <c r="BG196" i="2"/>
  <c r="BH196" i="2"/>
  <c r="BI196" i="2"/>
  <c r="BK196" i="2"/>
  <c r="W197" i="2"/>
  <c r="Y197" i="2"/>
  <c r="AA197" i="2"/>
  <c r="BF197" i="2"/>
  <c r="BG197" i="2"/>
  <c r="BH197" i="2"/>
  <c r="BI197" i="2"/>
  <c r="BK197" i="2"/>
  <c r="W199" i="2"/>
  <c r="Y199" i="2"/>
  <c r="AA199" i="2"/>
  <c r="BF199" i="2"/>
  <c r="BG199" i="2"/>
  <c r="BH199" i="2"/>
  <c r="BI199" i="2"/>
  <c r="BK199" i="2"/>
  <c r="W200" i="2"/>
  <c r="Y200" i="2"/>
  <c r="AA200" i="2"/>
  <c r="BF200" i="2"/>
  <c r="BG200" i="2"/>
  <c r="BH200" i="2"/>
  <c r="BI200" i="2"/>
  <c r="BK200" i="2"/>
  <c r="W203" i="2"/>
  <c r="Y203" i="2"/>
  <c r="AA203" i="2"/>
  <c r="BF203" i="2"/>
  <c r="BG203" i="2"/>
  <c r="BH203" i="2"/>
  <c r="BI203" i="2"/>
  <c r="BK203" i="2"/>
  <c r="W205" i="2"/>
  <c r="Y205" i="2"/>
  <c r="AA205" i="2"/>
  <c r="BF205" i="2"/>
  <c r="BG205" i="2"/>
  <c r="BH205" i="2"/>
  <c r="BI205" i="2"/>
  <c r="BK205" i="2"/>
  <c r="BF206" i="2"/>
  <c r="BG206" i="2"/>
  <c r="BH206" i="2"/>
  <c r="BI206" i="2"/>
  <c r="W209" i="2"/>
  <c r="Y209" i="2"/>
  <c r="AA209" i="2"/>
  <c r="BF209" i="2"/>
  <c r="BG209" i="2"/>
  <c r="BH209" i="2"/>
  <c r="BI209" i="2"/>
  <c r="BK209" i="2"/>
  <c r="BF210" i="2"/>
  <c r="BG210" i="2"/>
  <c r="BH210" i="2"/>
  <c r="BI210" i="2"/>
  <c r="W212" i="2"/>
  <c r="Y212" i="2"/>
  <c r="AA212" i="2"/>
  <c r="BF212" i="2"/>
  <c r="BG212" i="2"/>
  <c r="BH212" i="2"/>
  <c r="BI212" i="2"/>
  <c r="BK212" i="2"/>
  <c r="BF213" i="2"/>
  <c r="BG213" i="2"/>
  <c r="BH213" i="2"/>
  <c r="BI213" i="2"/>
  <c r="BF214" i="2"/>
  <c r="BG214" i="2"/>
  <c r="BH214" i="2"/>
  <c r="BI214" i="2"/>
  <c r="W215" i="2"/>
  <c r="Y215" i="2"/>
  <c r="AA215" i="2"/>
  <c r="BF215" i="2"/>
  <c r="BG215" i="2"/>
  <c r="BH215" i="2"/>
  <c r="BI215" i="2"/>
  <c r="BK215" i="2"/>
  <c r="W217" i="2"/>
  <c r="Y217" i="2"/>
  <c r="AA217" i="2"/>
  <c r="BF217" i="2"/>
  <c r="BG217" i="2"/>
  <c r="BH217" i="2"/>
  <c r="BI217" i="2"/>
  <c r="BK217" i="2"/>
  <c r="W218" i="2"/>
  <c r="Y218" i="2"/>
  <c r="AA218" i="2"/>
  <c r="BF218" i="2"/>
  <c r="BG218" i="2"/>
  <c r="BH218" i="2"/>
  <c r="BI218" i="2"/>
  <c r="BK218" i="2"/>
  <c r="W219" i="2"/>
  <c r="Y219" i="2"/>
  <c r="AA219" i="2"/>
  <c r="BF219" i="2"/>
  <c r="BG219" i="2"/>
  <c r="BH219" i="2"/>
  <c r="BI219" i="2"/>
  <c r="BK219" i="2"/>
  <c r="W220" i="2"/>
  <c r="Y220" i="2"/>
  <c r="AA220" i="2"/>
  <c r="BF220" i="2"/>
  <c r="BG220" i="2"/>
  <c r="BH220" i="2"/>
  <c r="BI220" i="2"/>
  <c r="BK220" i="2"/>
  <c r="W221" i="2"/>
  <c r="Y221" i="2"/>
  <c r="AA221" i="2"/>
  <c r="BF221" i="2"/>
  <c r="BG221" i="2"/>
  <c r="BH221" i="2"/>
  <c r="BI221" i="2"/>
  <c r="BK221" i="2"/>
  <c r="W223" i="2"/>
  <c r="Y223" i="2"/>
  <c r="AA223" i="2"/>
  <c r="BF223" i="2"/>
  <c r="BG223" i="2"/>
  <c r="BH223" i="2"/>
  <c r="BI223" i="2"/>
  <c r="BK223" i="2"/>
  <c r="W227" i="2"/>
  <c r="Y227" i="2"/>
  <c r="AA227" i="2"/>
  <c r="BF227" i="2"/>
  <c r="BG227" i="2"/>
  <c r="BH227" i="2"/>
  <c r="BI227" i="2"/>
  <c r="BK227" i="2"/>
  <c r="W228" i="2"/>
  <c r="Y228" i="2"/>
  <c r="AA228" i="2"/>
  <c r="BF228" i="2"/>
  <c r="BG228" i="2"/>
  <c r="BH228" i="2"/>
  <c r="BI228" i="2"/>
  <c r="BK228" i="2"/>
  <c r="W229" i="2"/>
  <c r="Y229" i="2"/>
  <c r="AA229" i="2"/>
  <c r="BF229" i="2"/>
  <c r="BG229" i="2"/>
  <c r="BH229" i="2"/>
  <c r="BI229" i="2"/>
  <c r="BK229" i="2"/>
  <c r="W231" i="2"/>
  <c r="Y231" i="2"/>
  <c r="AA231" i="2"/>
  <c r="BF231" i="2"/>
  <c r="BG231" i="2"/>
  <c r="BH231" i="2"/>
  <c r="BI231" i="2"/>
  <c r="BK231" i="2"/>
  <c r="BF232" i="2"/>
  <c r="BG232" i="2"/>
  <c r="BH232" i="2"/>
  <c r="BI232" i="2"/>
  <c r="W235" i="2"/>
  <c r="Y235" i="2"/>
  <c r="AA235" i="2"/>
  <c r="BF235" i="2"/>
  <c r="BG235" i="2"/>
  <c r="BH235" i="2"/>
  <c r="BI235" i="2"/>
  <c r="BK235" i="2"/>
  <c r="W236" i="2"/>
  <c r="Y236" i="2"/>
  <c r="AA236" i="2"/>
  <c r="BF236" i="2"/>
  <c r="BG236" i="2"/>
  <c r="BH236" i="2"/>
  <c r="BI236" i="2"/>
  <c r="BK236" i="2"/>
  <c r="W237" i="2"/>
  <c r="Y237" i="2"/>
  <c r="AA237" i="2"/>
  <c r="BF237" i="2"/>
  <c r="BG237" i="2"/>
  <c r="BH237" i="2"/>
  <c r="BI237" i="2"/>
  <c r="BK237" i="2"/>
  <c r="W249" i="2"/>
  <c r="Y249" i="2"/>
  <c r="AA249" i="2"/>
  <c r="BF249" i="2"/>
  <c r="BG249" i="2"/>
  <c r="BH249" i="2"/>
  <c r="BI249" i="2"/>
  <c r="BK249" i="2"/>
  <c r="W250" i="2"/>
  <c r="Y250" i="2"/>
  <c r="AA250" i="2"/>
  <c r="BF250" i="2"/>
  <c r="BG250" i="2"/>
  <c r="BH250" i="2"/>
  <c r="BI250" i="2"/>
  <c r="BK250" i="2"/>
  <c r="W251" i="2"/>
  <c r="Y251" i="2"/>
  <c r="AA251" i="2"/>
  <c r="BF251" i="2"/>
  <c r="BG251" i="2"/>
  <c r="BH251" i="2"/>
  <c r="BI251" i="2"/>
  <c r="BK251" i="2"/>
  <c r="W252" i="2"/>
  <c r="Y252" i="2"/>
  <c r="AA252" i="2"/>
  <c r="BF252" i="2"/>
  <c r="BG252" i="2"/>
  <c r="BH252" i="2"/>
  <c r="BI252" i="2"/>
  <c r="BK252" i="2"/>
  <c r="W254" i="2"/>
  <c r="Y254" i="2"/>
  <c r="AA254" i="2"/>
  <c r="AA248" i="2" s="1"/>
  <c r="BF254" i="2"/>
  <c r="BG254" i="2"/>
  <c r="BH254" i="2"/>
  <c r="BI254" i="2"/>
  <c r="BK254" i="2"/>
  <c r="W270" i="2"/>
  <c r="Y270" i="2"/>
  <c r="AA270" i="2"/>
  <c r="BF270" i="2"/>
  <c r="BG270" i="2"/>
  <c r="BH270" i="2"/>
  <c r="BI270" i="2"/>
  <c r="BK270" i="2"/>
  <c r="W271" i="2"/>
  <c r="Y271" i="2"/>
  <c r="AA271" i="2"/>
  <c r="BF271" i="2"/>
  <c r="BG271" i="2"/>
  <c r="BH271" i="2"/>
  <c r="BI271" i="2"/>
  <c r="BK271" i="2"/>
  <c r="W273" i="2"/>
  <c r="Y273" i="2"/>
  <c r="AA273" i="2"/>
  <c r="BF273" i="2"/>
  <c r="BG273" i="2"/>
  <c r="BH273" i="2"/>
  <c r="BI273" i="2"/>
  <c r="BK273" i="2"/>
  <c r="W299" i="2"/>
  <c r="Y299" i="2"/>
  <c r="AA299" i="2"/>
  <c r="BF299" i="2"/>
  <c r="BG299" i="2"/>
  <c r="BH299" i="2"/>
  <c r="BI299" i="2"/>
  <c r="BK299" i="2"/>
  <c r="W300" i="2"/>
  <c r="Y300" i="2"/>
  <c r="AA300" i="2"/>
  <c r="BF300" i="2"/>
  <c r="BG300" i="2"/>
  <c r="BH300" i="2"/>
  <c r="BI300" i="2"/>
  <c r="BK300" i="2"/>
  <c r="W301" i="2"/>
  <c r="Y301" i="2"/>
  <c r="AA301" i="2"/>
  <c r="BF301" i="2"/>
  <c r="BG301" i="2"/>
  <c r="BH301" i="2"/>
  <c r="BI301" i="2"/>
  <c r="BK301" i="2"/>
  <c r="W302" i="2"/>
  <c r="Y302" i="2"/>
  <c r="AA302" i="2"/>
  <c r="BF302" i="2"/>
  <c r="BG302" i="2"/>
  <c r="BH302" i="2"/>
  <c r="BI302" i="2"/>
  <c r="BK302" i="2"/>
  <c r="W305" i="2"/>
  <c r="Y305" i="2"/>
  <c r="AA305" i="2"/>
  <c r="BF305" i="2"/>
  <c r="BG305" i="2"/>
  <c r="BH305" i="2"/>
  <c r="BI305" i="2"/>
  <c r="BK305" i="2"/>
  <c r="W306" i="2"/>
  <c r="Y306" i="2"/>
  <c r="AA306" i="2"/>
  <c r="BF306" i="2"/>
  <c r="BG306" i="2"/>
  <c r="BH306" i="2"/>
  <c r="BI306" i="2"/>
  <c r="BK306" i="2"/>
  <c r="W308" i="2"/>
  <c r="Y308" i="2"/>
  <c r="AA308" i="2"/>
  <c r="BF308" i="2"/>
  <c r="BG308" i="2"/>
  <c r="BH308" i="2"/>
  <c r="BI308" i="2"/>
  <c r="BK308" i="2"/>
  <c r="W309" i="2"/>
  <c r="Y309" i="2"/>
  <c r="AA309" i="2"/>
  <c r="BF309" i="2"/>
  <c r="BG309" i="2"/>
  <c r="BH309" i="2"/>
  <c r="BI309" i="2"/>
  <c r="BK309" i="2"/>
  <c r="W310" i="2"/>
  <c r="Y310" i="2"/>
  <c r="AA310" i="2"/>
  <c r="BF310" i="2"/>
  <c r="BG310" i="2"/>
  <c r="BH310" i="2"/>
  <c r="BI310" i="2"/>
  <c r="BK310" i="2"/>
  <c r="W314" i="2"/>
  <c r="Y314" i="2"/>
  <c r="AA314" i="2"/>
  <c r="BF314" i="2"/>
  <c r="BG314" i="2"/>
  <c r="BH314" i="2"/>
  <c r="BI314" i="2"/>
  <c r="BK314" i="2"/>
  <c r="N316" i="2"/>
  <c r="W316" i="2"/>
  <c r="Y316" i="2"/>
  <c r="AA316" i="2"/>
  <c r="BF316" i="2"/>
  <c r="BG316" i="2"/>
  <c r="BH316" i="2"/>
  <c r="BI316" i="2"/>
  <c r="BK316" i="2"/>
  <c r="W322" i="2"/>
  <c r="Y322" i="2"/>
  <c r="AA322" i="2"/>
  <c r="BF322" i="2"/>
  <c r="BG322" i="2"/>
  <c r="BH322" i="2"/>
  <c r="BI322" i="2"/>
  <c r="BK322" i="2"/>
  <c r="W323" i="2"/>
  <c r="Y323" i="2"/>
  <c r="AA323" i="2"/>
  <c r="BF323" i="2"/>
  <c r="BG323" i="2"/>
  <c r="BH323" i="2"/>
  <c r="BI323" i="2"/>
  <c r="BK323" i="2"/>
  <c r="W337" i="2"/>
  <c r="Y337" i="2"/>
  <c r="AA337" i="2"/>
  <c r="BF337" i="2"/>
  <c r="BG337" i="2"/>
  <c r="BH337" i="2"/>
  <c r="BI337" i="2"/>
  <c r="W338" i="2"/>
  <c r="Y338" i="2"/>
  <c r="AA338" i="2"/>
  <c r="BF338" i="2"/>
  <c r="BG338" i="2"/>
  <c r="BH338" i="2"/>
  <c r="BI338" i="2"/>
  <c r="N339" i="2"/>
  <c r="BE339" i="2" s="1"/>
  <c r="W339" i="2"/>
  <c r="Y339" i="2"/>
  <c r="AA339" i="2"/>
  <c r="BF339" i="2"/>
  <c r="BG339" i="2"/>
  <c r="BH339" i="2"/>
  <c r="BI339" i="2"/>
  <c r="BK339" i="2"/>
  <c r="N340" i="2"/>
  <c r="BE340" i="2" s="1"/>
  <c r="W340" i="2"/>
  <c r="Y340" i="2"/>
  <c r="AA340" i="2"/>
  <c r="BF340" i="2"/>
  <c r="BG340" i="2"/>
  <c r="BH340" i="2"/>
  <c r="BI340" i="2"/>
  <c r="BK340" i="2"/>
  <c r="N341" i="2"/>
  <c r="BE341" i="2" s="1"/>
  <c r="W341" i="2"/>
  <c r="Y341" i="2"/>
  <c r="AA341" i="2"/>
  <c r="BF341" i="2"/>
  <c r="BG341" i="2"/>
  <c r="BH341" i="2"/>
  <c r="BI341" i="2"/>
  <c r="BK341" i="2"/>
  <c r="AK24" i="1"/>
  <c r="L77" i="1"/>
  <c r="L78" i="1"/>
  <c r="L80" i="1"/>
  <c r="AM80" i="1"/>
  <c r="L82" i="1"/>
  <c r="AM82" i="1"/>
  <c r="L83" i="1"/>
  <c r="AM83" i="1"/>
  <c r="AX88" i="1"/>
  <c r="AY88" i="1"/>
  <c r="Y232" i="2"/>
  <c r="W232" i="2"/>
  <c r="BK232" i="2"/>
  <c r="AA232" i="2"/>
  <c r="N172" i="2"/>
  <c r="BK173" i="2"/>
  <c r="W173" i="2"/>
  <c r="AA172" i="2"/>
  <c r="Y173" i="2"/>
  <c r="Y172" i="2"/>
  <c r="N232" i="2"/>
  <c r="BE232" i="2" s="1"/>
  <c r="AA173" i="2"/>
  <c r="W225" i="2"/>
  <c r="Y225" i="2"/>
  <c r="BE225" i="2"/>
  <c r="BE299" i="2" l="1"/>
  <c r="N274" i="2"/>
  <c r="BE314" i="2"/>
  <c r="BE315" i="2"/>
  <c r="BE312" i="2"/>
  <c r="BE311" i="2"/>
  <c r="BE316" i="2"/>
  <c r="BE330" i="2"/>
  <c r="BE226" i="2"/>
  <c r="BE234" i="2"/>
  <c r="BE208" i="2"/>
  <c r="N210" i="2"/>
  <c r="Y335" i="2"/>
  <c r="BK335" i="2"/>
  <c r="W335" i="2"/>
  <c r="AA335" i="2"/>
  <c r="BE300" i="2"/>
  <c r="BE262" i="2"/>
  <c r="BE265" i="2"/>
  <c r="BE264" i="2"/>
  <c r="BE267" i="2"/>
  <c r="BE305" i="2"/>
  <c r="BE304" i="2"/>
  <c r="BE310" i="2"/>
  <c r="BE313" i="2"/>
  <c r="BE209" i="2"/>
  <c r="BE334" i="2"/>
  <c r="BE301" i="2"/>
  <c r="BE263" i="2"/>
  <c r="BE266" i="2"/>
  <c r="BE322" i="2"/>
  <c r="BE259" i="2"/>
  <c r="BE258" i="2"/>
  <c r="BE260" i="2"/>
  <c r="BK255" i="2"/>
  <c r="BE250" i="2"/>
  <c r="BE257" i="2"/>
  <c r="BE252" i="2"/>
  <c r="BE261" i="2"/>
  <c r="W255" i="2"/>
  <c r="AA255" i="2"/>
  <c r="BE254" i="2"/>
  <c r="BE268" i="2"/>
  <c r="BE249" i="2"/>
  <c r="BE256" i="2"/>
  <c r="Y255" i="2"/>
  <c r="AA307" i="2"/>
  <c r="Y210" i="2"/>
  <c r="Y332" i="2" s="1"/>
  <c r="Y222" i="2"/>
  <c r="BK214" i="2"/>
  <c r="Y174" i="2"/>
  <c r="AA177" i="2"/>
  <c r="AA222" i="2"/>
  <c r="AA214" i="2"/>
  <c r="Y214" i="2"/>
  <c r="W214" i="2"/>
  <c r="Y213" i="2"/>
  <c r="N216" i="2"/>
  <c r="N99" i="2" s="1"/>
  <c r="BE172" i="2"/>
  <c r="BE180" i="2"/>
  <c r="W248" i="2"/>
  <c r="N198" i="2"/>
  <c r="N96" i="2" s="1"/>
  <c r="N269" i="2"/>
  <c r="N106" i="2" s="1"/>
  <c r="AA317" i="2"/>
  <c r="AA213" i="2"/>
  <c r="W213" i="2"/>
  <c r="W336" i="2"/>
  <c r="BK156" i="2"/>
  <c r="AA174" i="2"/>
  <c r="BK213" i="2"/>
  <c r="W174" i="2"/>
  <c r="W317" i="2"/>
  <c r="Y269" i="2"/>
  <c r="Y193" i="2"/>
  <c r="BE329" i="2"/>
  <c r="BE323" i="2"/>
  <c r="Y317" i="2"/>
  <c r="Y336" i="2"/>
  <c r="AA336" i="2"/>
  <c r="BK317" i="2"/>
  <c r="BE325" i="2"/>
  <c r="BE331" i="2"/>
  <c r="Y187" i="2"/>
  <c r="AA269" i="2"/>
  <c r="BE217" i="2"/>
  <c r="BK269" i="2"/>
  <c r="W269" i="2"/>
  <c r="Y248" i="2"/>
  <c r="AA198" i="2"/>
  <c r="AA176" i="2"/>
  <c r="W193" i="2"/>
  <c r="W307" i="2"/>
  <c r="Y176" i="2"/>
  <c r="AA187" i="2"/>
  <c r="BK187" i="2"/>
  <c r="W198" i="2"/>
  <c r="AA193" i="2"/>
  <c r="W176" i="2"/>
  <c r="BK193" i="2"/>
  <c r="BK248" i="2"/>
  <c r="BK198" i="2"/>
  <c r="Y198" i="2"/>
  <c r="BK176" i="2"/>
  <c r="BK171" i="2" s="1"/>
  <c r="N248" i="2"/>
  <c r="N104" i="2" s="1"/>
  <c r="F83" i="2"/>
  <c r="W156" i="2"/>
  <c r="AA156" i="2"/>
  <c r="Y156" i="2"/>
  <c r="N142" i="2"/>
  <c r="N90" i="2" s="1"/>
  <c r="F126" i="2"/>
  <c r="N307" i="2"/>
  <c r="N108" i="2" s="1"/>
  <c r="BK307" i="2"/>
  <c r="Y307" i="2"/>
  <c r="W274" i="2"/>
  <c r="BK274" i="2"/>
  <c r="AA274" i="2"/>
  <c r="Y274" i="2"/>
  <c r="N230" i="2"/>
  <c r="N101" i="2" s="1"/>
  <c r="W222" i="2"/>
  <c r="BK222" i="2"/>
  <c r="Y216" i="2"/>
  <c r="W216" i="2"/>
  <c r="BK216" i="2"/>
  <c r="AA216" i="2"/>
  <c r="BK210" i="2"/>
  <c r="BK332" i="2" s="1"/>
  <c r="W210" i="2"/>
  <c r="W204" i="2" s="1"/>
  <c r="AA210" i="2"/>
  <c r="AA332" i="2" s="1"/>
  <c r="H30" i="2"/>
  <c r="BB88" i="1" s="1"/>
  <c r="BB87" i="1" s="1"/>
  <c r="W30" i="1" s="1"/>
  <c r="Y178" i="2"/>
  <c r="AA178" i="2"/>
  <c r="N177" i="2"/>
  <c r="BE177" i="2" s="1"/>
  <c r="W142" i="2"/>
  <c r="AA142" i="2"/>
  <c r="Y142" i="2"/>
  <c r="BK142" i="2"/>
  <c r="H31" i="2"/>
  <c r="BC88" i="1" s="1"/>
  <c r="BC87" i="1" s="1"/>
  <c r="W31" i="1" s="1"/>
  <c r="H32" i="2"/>
  <c r="BD88" i="1" s="1"/>
  <c r="BD87" i="1" s="1"/>
  <c r="W32" i="1" s="1"/>
  <c r="W178" i="2"/>
  <c r="BK206" i="2"/>
  <c r="N206" i="2"/>
  <c r="Y230" i="2"/>
  <c r="BE251" i="2"/>
  <c r="AW88" i="1"/>
  <c r="N109" i="2"/>
  <c r="Y206" i="2"/>
  <c r="N211" i="2"/>
  <c r="N98" i="2" s="1"/>
  <c r="M82" i="2"/>
  <c r="BE173" i="2"/>
  <c r="AA230" i="2"/>
  <c r="BK178" i="2"/>
  <c r="AA206" i="2"/>
  <c r="Y177" i="2"/>
  <c r="BK230" i="2"/>
  <c r="M124" i="2"/>
  <c r="BE199" i="2"/>
  <c r="N156" i="2"/>
  <c r="N91" i="2" s="1"/>
  <c r="N193" i="2"/>
  <c r="N95" i="2" s="1"/>
  <c r="W177" i="2"/>
  <c r="W230" i="2"/>
  <c r="BE159" i="2"/>
  <c r="BK136" i="2"/>
  <c r="BK132" i="2" s="1"/>
  <c r="N136" i="2"/>
  <c r="Y136" i="2"/>
  <c r="Y132" i="2" s="1"/>
  <c r="AA136" i="2"/>
  <c r="AA132" i="2" s="1"/>
  <c r="W136" i="2"/>
  <c r="W132" i="2" s="1"/>
  <c r="W29" i="1"/>
  <c r="AW87" i="1"/>
  <c r="AK29" i="1" s="1"/>
  <c r="Y204" i="2" l="1"/>
  <c r="AA171" i="2"/>
  <c r="BE210" i="2"/>
  <c r="BE335" i="2"/>
  <c r="W332" i="2"/>
  <c r="N107" i="2"/>
  <c r="W211" i="2"/>
  <c r="Y211" i="2"/>
  <c r="Y131" i="2" s="1"/>
  <c r="Y130" i="2" s="1"/>
  <c r="BK211" i="2"/>
  <c r="AA211" i="2"/>
  <c r="Y171" i="2"/>
  <c r="BK204" i="2"/>
  <c r="W171" i="2"/>
  <c r="W187" i="2"/>
  <c r="AA204" i="2"/>
  <c r="N171" i="2"/>
  <c r="N92" i="2" s="1"/>
  <c r="AX87" i="1"/>
  <c r="AY87" i="1"/>
  <c r="N93" i="2"/>
  <c r="N204" i="2"/>
  <c r="N97" i="2" s="1"/>
  <c r="BE206" i="2"/>
  <c r="N222" i="2"/>
  <c r="N100" i="2" s="1"/>
  <c r="BE136" i="2"/>
  <c r="N132" i="2"/>
  <c r="BK131" i="2" l="1"/>
  <c r="N131" i="2"/>
  <c r="AA131" i="2"/>
  <c r="AA130" i="2" s="1"/>
  <c r="W131" i="2"/>
  <c r="W130" i="2" s="1"/>
  <c r="AU88" i="1" s="1"/>
  <c r="AU87" i="1" s="1"/>
  <c r="N89" i="2"/>
  <c r="N337" i="2" l="1"/>
  <c r="BE337" i="2" s="1"/>
  <c r="BK337" i="2"/>
  <c r="N338" i="2"/>
  <c r="BE338" i="2" s="1"/>
  <c r="BK338" i="2"/>
  <c r="N88" i="2"/>
  <c r="BK336" i="2" l="1"/>
  <c r="BK130" i="2" s="1"/>
  <c r="N336" i="2" l="1"/>
  <c r="N110" i="2" s="1"/>
  <c r="N130" i="2" l="1"/>
  <c r="N87" i="2" s="1"/>
  <c r="M23" i="2" s="1"/>
  <c r="L114" i="2" l="1"/>
  <c r="M26" i="2"/>
  <c r="H28" i="2"/>
  <c r="AZ88" i="1" s="1"/>
  <c r="AZ87" i="1" s="1"/>
  <c r="AV87" i="1" l="1"/>
  <c r="W28" i="1"/>
  <c r="L34" i="2"/>
  <c r="M28" i="2" s="1"/>
  <c r="AV88" i="1" s="1"/>
  <c r="AT88" i="1" s="1"/>
  <c r="AG88" i="1"/>
  <c r="AG87" i="1" l="1"/>
  <c r="AN88" i="1"/>
  <c r="AK28" i="1"/>
  <c r="AT87" i="1"/>
  <c r="AN87" i="1" s="1"/>
  <c r="AN92" i="1" s="1"/>
  <c r="AG92" i="1" l="1"/>
  <c r="AK23" i="1"/>
  <c r="AK26" i="1" s="1"/>
  <c r="AK34" i="1" s="1"/>
</calcChain>
</file>

<file path=xl/sharedStrings.xml><?xml version="1.0" encoding="utf-8"?>
<sst xmlns="http://schemas.openxmlformats.org/spreadsheetml/2006/main" count="2385" uniqueCount="455">
  <si>
    <t>2012</t>
  </si>
  <si>
    <t>List obsahuje:</t>
  </si>
  <si>
    <t>2.0</t>
  </si>
  <si>
    <t>False</t>
  </si>
  <si>
    <t>optimalizováno pro tisk sestav ve formátu A4 - na výšku</t>
  </si>
  <si>
    <t>&gt;&gt;  skryté sloupce  &lt;&lt;</t>
  </si>
  <si>
    <t>0,001</t>
  </si>
  <si>
    <t>21</t>
  </si>
  <si>
    <t>15</t>
  </si>
  <si>
    <t>SOUHRNNÝ LIST STAVBY</t>
  </si>
  <si>
    <t>v ---  níže se nacházejí doplnkové a pomocné údaje k sestavám  --- v</t>
  </si>
  <si>
    <t>Kód:</t>
  </si>
  <si>
    <t>0,01</t>
  </si>
  <si>
    <t>Stavba:</t>
  </si>
  <si>
    <t>Kutná Hora ul.Česká</t>
  </si>
  <si>
    <t>0,1</t>
  </si>
  <si>
    <t>JKSO:</t>
  </si>
  <si>
    <t>CC-CZ:</t>
  </si>
  <si>
    <t>1</t>
  </si>
  <si>
    <t>Místo:</t>
  </si>
  <si>
    <t>Kutná Hora</t>
  </si>
  <si>
    <t>Datum:</t>
  </si>
  <si>
    <t>10</t>
  </si>
  <si>
    <t>100</t>
  </si>
  <si>
    <t>Objednavatel: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</si>
  <si>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</si>
  <si>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</si>
  <si>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</si>
  <si>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</si>
  <si>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</si>
  <si>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</si>
  <si>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</si>
  <si>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PROAGRO Pardubice s.r.o.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</si>
  <si>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</si>
  <si>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</si>
  <si>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</si>
  <si>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</si>
  <si>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</si>
  <si>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</si>
  <si>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</si>
  <si>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</si>
  <si>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</si>
  <si>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</si>
  <si>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</si>
  <si>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</si>
  <si>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</si>
  <si>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</si>
  <si>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</si>
  <si>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</si>
  <si>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</si>
  <si>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</si>
  <si>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</si>
  <si>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</si>
  <si>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</si>
  <si>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</si>
  <si>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</si>
  <si>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</si>
  <si>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</si>
  <si>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</si>
  <si>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</si>
  <si>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</si>
  <si>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</si>
  <si>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</si>
  <si>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</si>
  <si>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</si>
  <si>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</si>
  <si>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</si>
  <si>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</si>
  <si>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</si>
  <si>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</si>
  <si>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</si>
  <si>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</si>
  <si>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</si>
  <si>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IMPORT</t>
  </si>
  <si>
    <t>{455D0F68-FE62-4392-84D4-247AB705D7CF}</t>
  </si>
  <si>
    <t>{00000000-0000-0000-0000-000000000000}</t>
  </si>
  <si>
    <t>###NOINSERT###</t>
  </si>
  <si>
    <t>2) Ostatní náklady ze souhrnného listu</t>
  </si>
  <si>
    <t>Procent. zadání
[% nákladů rozpočtu]</t>
  </si>
  <si>
    <t>Zařazení nákladů</t>
  </si>
  <si>
    <t>Celkové náklady za stavbu 1) + 2)</t>
  </si>
  <si>
    <t>Zpět na list:</t>
  </si>
  <si>
    <t>2</t>
  </si>
  <si>
    <t>Náklady z rozpočtu</t>
  </si>
  <si>
    <t>Ostatní náklady</t>
  </si>
  <si>
    <t>Kód - Popis</t>
  </si>
  <si>
    <t>Cena celkem [CZK]</t>
  </si>
  <si>
    <t>1) Náklady z rozpočtu</t>
  </si>
  <si>
    <t>-1</t>
  </si>
  <si>
    <t>HSV - HSV</t>
  </si>
  <si>
    <t xml:space="preserve">    1 - Zemní práce</t>
  </si>
  <si>
    <t xml:space="preserve">    96 - Bourání konstrukcí</t>
  </si>
  <si>
    <t xml:space="preserve">    997 - Přesun sutě</t>
  </si>
  <si>
    <t xml:space="preserve">    911 - Silniční obruba převýšená +2cm-nájezdy</t>
  </si>
  <si>
    <t xml:space="preserve">    912 - Silniční obruba převýšená +12 cm</t>
  </si>
  <si>
    <t xml:space="preserve">    89 - Výšková úprava poklopů a šoupat</t>
  </si>
  <si>
    <t xml:space="preserve">    87 - Uliční vpustě</t>
  </si>
  <si>
    <t xml:space="preserve">    46 - Kabelové  chráničky</t>
  </si>
  <si>
    <t xml:space="preserve">    91 - Dopravní značení</t>
  </si>
  <si>
    <t>VRN - Vedlejší rozpočtové náklady</t>
  </si>
  <si>
    <t>2) Ostatní náklady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</si>
  <si>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</si>
  <si>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</si>
  <si>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</si>
  <si>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</si>
  <si>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</si>
  <si>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</si>
  <si>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</si>
  <si>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</si>
  <si>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</si>
  <si>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</si>
  <si>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</si>
  <si>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</si>
  <si>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</si>
  <si>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</si>
  <si>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</si>
  <si>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</si>
  <si>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122201103</t>
  </si>
  <si>
    <t>Odkopávky a prokopávky nezapažené v hornině tř. 3 objem do 5000 m3</t>
  </si>
  <si>
    <t>m3</t>
  </si>
  <si>
    <t>4</t>
  </si>
  <si>
    <t>122201109</t>
  </si>
  <si>
    <t>Příplatek za lepivost u odkopávek v hornině tř. 1 až 3</t>
  </si>
  <si>
    <t>3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</si>
  <si>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</si>
  <si>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</si>
  <si>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</si>
  <si>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</si>
  <si>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VV</t>
  </si>
  <si>
    <t>5</t>
  </si>
  <si>
    <t>167101102</t>
  </si>
  <si>
    <t>Nakládání výkopku z hornin tř. 1 až 4 přes 100 m3</t>
  </si>
  <si>
    <t>6</t>
  </si>
  <si>
    <t>181202305</t>
  </si>
  <si>
    <t>Úprava pláně na násypech se zhutněním</t>
  </si>
  <si>
    <t>m2</t>
  </si>
  <si>
    <t>7</t>
  </si>
  <si>
    <t>171201201</t>
  </si>
  <si>
    <t>Uložení sypaniny na skládky</t>
  </si>
  <si>
    <t>8</t>
  </si>
  <si>
    <t>171201212</t>
  </si>
  <si>
    <t>Poplatek za uložení odpadu ze sypaniny na skládce (skládkovné)</t>
  </si>
  <si>
    <t>9</t>
  </si>
  <si>
    <t>113107241</t>
  </si>
  <si>
    <t>113106111</t>
  </si>
  <si>
    <t>Rozebrání dlažeb komunikací pro pěší z mozaiky</t>
  </si>
  <si>
    <t>113106121</t>
  </si>
  <si>
    <t>Rozebrání dlažeb nebo dílců komunikací pro pěší z betonových nebo kamenných dlaždic</t>
  </si>
  <si>
    <t>113201112</t>
  </si>
  <si>
    <t>Vytrhání obrub silničních ležatých</t>
  </si>
  <si>
    <t>m</t>
  </si>
  <si>
    <t>113204111</t>
  </si>
  <si>
    <t>Vytrhání obrub záhonových</t>
  </si>
  <si>
    <t>979024443</t>
  </si>
  <si>
    <t>Očištění vybouraných obrubníků a krajníků silničních</t>
  </si>
  <si>
    <t>979054441</t>
  </si>
  <si>
    <t>Očištění vybouraných z desek nebo dlaždic s původním spárováním z kameniva těženého</t>
  </si>
  <si>
    <t>899204211</t>
  </si>
  <si>
    <t>Demontáž mříží litinových včetně rámů hmotnosti přes 150 kg</t>
  </si>
  <si>
    <t>kus</t>
  </si>
  <si>
    <t>997013501</t>
  </si>
  <si>
    <t>Odvoz suti na skládku a vybouraných hmot nebo meziskládku do 1 km se složením</t>
  </si>
  <si>
    <t>t</t>
  </si>
  <si>
    <t>997013509</t>
  </si>
  <si>
    <t>Příplatek k odvozu suti a vybouraných hmot na skládku ZKD 1 km přes 1 km</t>
  </si>
  <si>
    <t>997002611</t>
  </si>
  <si>
    <t>Nakládání suti a vybouraných hmot</t>
  </si>
  <si>
    <t>997013801</t>
  </si>
  <si>
    <t>Poplatek za uložení stavebního betonového odpadu na skládce (skládkovné)</t>
  </si>
  <si>
    <t>4,429</t>
  </si>
  <si>
    <t>27,668</t>
  </si>
  <si>
    <t>228,126</t>
  </si>
  <si>
    <t>5,054</t>
  </si>
  <si>
    <t>Součet</t>
  </si>
  <si>
    <t>997013831</t>
  </si>
  <si>
    <t>Poplatek za uložení stavebního směsného odpadu na skládce (skládkovné)</t>
  </si>
  <si>
    <t>997221845</t>
  </si>
  <si>
    <t>Poplatek za uložení odpadu z asfaltových povrchů na skládce (skládkovné)</t>
  </si>
  <si>
    <t>916111113</t>
  </si>
  <si>
    <t>Osazení obruby z velkých kostek s boční opěrou do lože z betonu prostého</t>
  </si>
  <si>
    <t>M</t>
  </si>
  <si>
    <t>919731121</t>
  </si>
  <si>
    <t>Zarovnání styčné plochy podkladu nebo krytu živičného tl do 50 mm</t>
  </si>
  <si>
    <t>998223011</t>
  </si>
  <si>
    <t>Přesun hmot pro pozemní komunikace s krytem dlážděným</t>
  </si>
  <si>
    <t>583801610</t>
  </si>
  <si>
    <t>591141111</t>
  </si>
  <si>
    <t>565231112</t>
  </si>
  <si>
    <t>Podklad ze štěrku částečně zpevněného cementovou maltou ŠCM tl 200 mm</t>
  </si>
  <si>
    <t>919111233</t>
  </si>
  <si>
    <t>Řezání spár pro vytvoření komůrky š 20 mm hl 40 mm pro těsnící zálivku v CB krytu</t>
  </si>
  <si>
    <t>919121132</t>
  </si>
  <si>
    <t>Těsnění spár zálivkou za studena pro komůrky š 20 mm hl 40 mm s těsnicím profilem</t>
  </si>
  <si>
    <t>919731122</t>
  </si>
  <si>
    <t>Zarovnání styčné plochy podkladu nebo krytu živičného tl do 100 mm</t>
  </si>
  <si>
    <t>998225111</t>
  </si>
  <si>
    <t>Přesun hmot pro pozemní komunikace s krytem z kamene, monolitickým betonovým nebo živičným</t>
  </si>
  <si>
    <t>916231213</t>
  </si>
  <si>
    <t>Osazení chodníkového obrubníku betonového stojatého s boční opěrou do lože z betonu prostého</t>
  </si>
  <si>
    <t>592173050</t>
  </si>
  <si>
    <t>591411111</t>
  </si>
  <si>
    <t>Kladení dlažby z mozaiky jednobarevné komunikací pro pěší lože z kameniva tl.30 mm</t>
  </si>
  <si>
    <t>583800100</t>
  </si>
  <si>
    <t>128</t>
  </si>
  <si>
    <t>564861111</t>
  </si>
  <si>
    <t>Podklad ze štěrkodrtě ŠD tl 200 mm</t>
  </si>
  <si>
    <t>592450032</t>
  </si>
  <si>
    <t>592450031</t>
  </si>
  <si>
    <t>COMCON CDR 255*255*35 mm</t>
  </si>
  <si>
    <t>565221113</t>
  </si>
  <si>
    <t>Podklad ze štěrku částečně zpevněného cementovou maltou ŠCM tl 180 mm</t>
  </si>
  <si>
    <t>5649521141</t>
  </si>
  <si>
    <t>Podklad z mechanicky zpevněného kameniva MZK tl 180 mm</t>
  </si>
  <si>
    <t>64</t>
  </si>
  <si>
    <t>181301101</t>
  </si>
  <si>
    <t>Rozprostření ornice pl do 500 m2 v rovině nebo ve svahu do 1:5 tl vrstvy do 100 mm</t>
  </si>
  <si>
    <t>103715000</t>
  </si>
  <si>
    <t>substrát pro trávníky A  VL</t>
  </si>
  <si>
    <t>181411131</t>
  </si>
  <si>
    <t>Založení parkového trávníku výsevem plochy do 1000 m2 v rovině a ve svahu do 1:5</t>
  </si>
  <si>
    <t>005724150</t>
  </si>
  <si>
    <t>osivo směs travní parková směs exclusive</t>
  </si>
  <si>
    <t>kg</t>
  </si>
  <si>
    <t>899331111</t>
  </si>
  <si>
    <t>Výšková úprava uličního vstupu nebo vpusti do 200 mm zvýšením poklopu</t>
  </si>
  <si>
    <t>899431111</t>
  </si>
  <si>
    <t>Výšková úprava uličního vstupu nebo vpusti do 200 mm zvýšením krycího hrnce, šoupěte nebo hydrantu</t>
  </si>
  <si>
    <t>998271301</t>
  </si>
  <si>
    <t>Přesun hmot pro kanalizace hloubené monolitické z betonu otevřený výkop</t>
  </si>
  <si>
    <t>721171918</t>
  </si>
  <si>
    <t>894416111</t>
  </si>
  <si>
    <t>montáž uličních vpustí třídílných</t>
  </si>
  <si>
    <t>592238740</t>
  </si>
  <si>
    <t>koš pozink. C3 DIN 4052, vysoký, pro rám 500/300</t>
  </si>
  <si>
    <t>592238760</t>
  </si>
  <si>
    <t>rám zabetonovaný DIN 19583-9 500/500 mm</t>
  </si>
  <si>
    <t>592238780</t>
  </si>
  <si>
    <t>mříž M1 D400 DIN 19583-13, 500/500 mm</t>
  </si>
  <si>
    <t>460520133</t>
  </si>
  <si>
    <t>592131030</t>
  </si>
  <si>
    <t>899722111</t>
  </si>
  <si>
    <t>Krytí potrubí z plastů výstražnou fólií z PVC 20 cm</t>
  </si>
  <si>
    <t>915321111</t>
  </si>
  <si>
    <t>Předformátované vodorovné dopravní značení přechod pro chodce</t>
  </si>
  <si>
    <t>915621111</t>
  </si>
  <si>
    <t>Předznačení vodorovného plošného značení</t>
  </si>
  <si>
    <t>030001000</t>
  </si>
  <si>
    <t>Zařízení staveniště</t>
  </si>
  <si>
    <t>512</t>
  </si>
  <si>
    <t>070001000</t>
  </si>
  <si>
    <t>provozní vlivy</t>
  </si>
  <si>
    <t>012103000</t>
  </si>
  <si>
    <t>Geodetické práce před výstavbou</t>
  </si>
  <si>
    <t>1024</t>
  </si>
  <si>
    <t>012303000</t>
  </si>
  <si>
    <t>Geodetické práce po výstavbě</t>
  </si>
  <si>
    <t>013224000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</si>
  <si>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</si>
  <si>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</si>
  <si>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</si>
  <si>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</si>
  <si>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</si>
  <si>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</si>
  <si>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</si>
  <si>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Kladení dlažby z kostek velkých z kamene do lože z kamenné drti fr.4-8 tl 50 mm</t>
  </si>
  <si>
    <t>Dokumentace skutečného provedení stavby</t>
  </si>
  <si>
    <t>1397,710*1</t>
  </si>
  <si>
    <t>583803740</t>
  </si>
  <si>
    <t>871315221</t>
  </si>
  <si>
    <t>721290112</t>
  </si>
  <si>
    <t>135,93/3</t>
  </si>
  <si>
    <t>COMCON CD30 255*255*35 mm</t>
  </si>
  <si>
    <t>Kladení dlažby do kroužku z kostek 100x140 mm z kamene do lože z kamenné drti fr.4-8 tl 50 mm</t>
  </si>
  <si>
    <t>Příplatek za ruční výběr a opracování obrub žulových</t>
  </si>
  <si>
    <t>obrubník kamenný přímý, žula, OP7 12x25 VLASTNÍ ZDROJ INVESTORA</t>
  </si>
  <si>
    <t>Kladení dlažby do řádku z kostek 100x150 mm z kamene do lože z kamenné drti fr.4-8 tl 50 mm</t>
  </si>
  <si>
    <t>kostka dlažební velká, žula velikost 10/15 VLASTNÍ ZDROJ INVESTORA</t>
  </si>
  <si>
    <t>966006132</t>
  </si>
  <si>
    <t>Odstranění značek dopravních nebo orientačních se sloupky s betonovými patkami</t>
  </si>
  <si>
    <t>914111111</t>
  </si>
  <si>
    <t>Montáž svislé dopravní značky do velikosti 1 m2 objímkami na sloupek nebo konzolu</t>
  </si>
  <si>
    <t>914511111</t>
  </si>
  <si>
    <t>Montáž sloupku dopravních značek délky do 3,5 m s betonovým základem</t>
  </si>
  <si>
    <t>Zřízení DIO po dobu výstavby 3 měsíce (cca 10x IP22 velká +5x IS11)</t>
  </si>
  <si>
    <t>kpl</t>
  </si>
  <si>
    <t>ks</t>
  </si>
  <si>
    <t>F100 - ZPEVNĚNÉ PLOCHY</t>
  </si>
  <si>
    <t>F100</t>
  </si>
  <si>
    <t>F100 ZPEVNĚNÉ PLOCHY</t>
  </si>
  <si>
    <t>597,88/8,5</t>
  </si>
  <si>
    <t>713,2/3,5</t>
  </si>
  <si>
    <t>113154123</t>
  </si>
  <si>
    <t>Frézování živičného krytu tl 50 mm pruh š 1 m pl do 500 m2 bez překážek v trase</t>
  </si>
  <si>
    <t/>
  </si>
  <si>
    <t>1404761939</t>
  </si>
  <si>
    <t>113107226</t>
  </si>
  <si>
    <t>Odstranění podkladu pl přes 200 m2 z kameniva drceného tl 450 mm</t>
  </si>
  <si>
    <t>-35170819</t>
  </si>
  <si>
    <t>Rozebrání dlažeb komunikací z mozaiky</t>
  </si>
  <si>
    <t>113107222</t>
  </si>
  <si>
    <t>Odstranění podkladu pl přes 200 m2 z kameniva drceného tl 200 mm</t>
  </si>
  <si>
    <t>1733712380</t>
  </si>
  <si>
    <t>Odstranění ploch do 200 m2 komunikací živičných tl 50 mm</t>
  </si>
  <si>
    <t>151,38+153,7</t>
  </si>
  <si>
    <t>249,87 m2</t>
  </si>
  <si>
    <t>87,60 m2</t>
  </si>
  <si>
    <t>916131113</t>
  </si>
  <si>
    <t>Osazení silničního obrubníku betonového ležatého s boční opěrou do lože z betonu prostého</t>
  </si>
  <si>
    <t>1467228452</t>
  </si>
  <si>
    <t>592174650</t>
  </si>
  <si>
    <t>1679385075</t>
  </si>
  <si>
    <t>1593970011</t>
  </si>
  <si>
    <t>651786473</t>
  </si>
  <si>
    <t>obrubník betonový silniční CSB HK (ostrůvkový) 100x20x25 cm</t>
  </si>
  <si>
    <t>11,6*1,01</t>
  </si>
  <si>
    <t xml:space="preserve">    913 - Ostrůvková  obruba CSB HK převýšená +12 cm - OSTRŮVEK</t>
  </si>
  <si>
    <t>290,75/3</t>
  </si>
  <si>
    <t>720/3,5</t>
  </si>
  <si>
    <t>10/3</t>
  </si>
  <si>
    <t>575151110</t>
  </si>
  <si>
    <t>-145374072</t>
  </si>
  <si>
    <t>564821111</t>
  </si>
  <si>
    <t>Podklad ze štěrkodrtě ŠD tl 80 mm</t>
  </si>
  <si>
    <t>2036947605</t>
  </si>
  <si>
    <t>564851111</t>
  </si>
  <si>
    <t>Podklad ze štěrkodrtě ŠD tl 150 mm</t>
  </si>
  <si>
    <t>2135277149</t>
  </si>
  <si>
    <t>181102302</t>
  </si>
  <si>
    <t>Úprava pláně v zářezech se zhutněním</t>
  </si>
  <si>
    <t>1633109365</t>
  </si>
  <si>
    <t>-1763787632</t>
  </si>
  <si>
    <t xml:space="preserve">    501 - Chodníky pochůzné</t>
  </si>
  <si>
    <t xml:space="preserve">    502 - Chodníky pochůzné slepecké</t>
  </si>
  <si>
    <t xml:space="preserve">    503 - Lemovací dlažba COMCON CDR</t>
  </si>
  <si>
    <t xml:space="preserve">    504 - Silnice žulová kostka velká</t>
  </si>
  <si>
    <t xml:space="preserve">    505 - parkovací záliv žulová kostka velká</t>
  </si>
  <si>
    <t xml:space="preserve">    506 - Chodník mlatový nový</t>
  </si>
  <si>
    <t xml:space="preserve">    507 - Chodník mlatový obrusná vrstva</t>
  </si>
  <si>
    <t xml:space="preserve">    508 - Sadové úpravy</t>
  </si>
  <si>
    <t>106,1*0,25</t>
  </si>
  <si>
    <t>20+3+4</t>
  </si>
  <si>
    <t>404442570</t>
  </si>
  <si>
    <t>značka svislá reflexní AL- NK 500 x 700 mm</t>
  </si>
  <si>
    <t>-163414402</t>
  </si>
  <si>
    <t>404452350</t>
  </si>
  <si>
    <t>sloupek Al 60 - 350</t>
  </si>
  <si>
    <t>1651220173</t>
  </si>
  <si>
    <t>915231116</t>
  </si>
  <si>
    <t>Vodorovné dopravní značení čáry, šipky, symboly retroreflexní bílý plast</t>
  </si>
  <si>
    <t>1354957367</t>
  </si>
  <si>
    <t xml:space="preserve">    509 - Výsadba dřevin</t>
  </si>
  <si>
    <t>184004614</t>
  </si>
  <si>
    <t>Výsadba sazenic stromů v jutovém obalu do jamky D 600 mm hl 600 mm bal D nad 400 do 500 mm</t>
  </si>
  <si>
    <t>PRUNUS SERRULATA</t>
  </si>
  <si>
    <t>338950145</t>
  </si>
  <si>
    <t>Osazení kůlů jednotlivě ve svahu do 1:5 se zadusáním do zeminy výška kůlu nad zemí do 3,0 m</t>
  </si>
  <si>
    <t>184807911</t>
  </si>
  <si>
    <t>Kůl l 2 m D 40 až 60 mm k sazenici 1 až 3 leté</t>
  </si>
  <si>
    <t>substrát zahradnický</t>
  </si>
  <si>
    <t>montáž rámů pro stromy čtyřdílných</t>
  </si>
  <si>
    <t>Rámy pro stromy kruhový</t>
  </si>
  <si>
    <t>zajištění substrátu pro pěstvání v jámě včetně odvětrání</t>
  </si>
  <si>
    <t>185804311</t>
  </si>
  <si>
    <t>Zalití rostlin vodou plocha do 20 m2</t>
  </si>
  <si>
    <t>185804319</t>
  </si>
  <si>
    <t>Příplatek k zalití rostlin za zálivku do nádob</t>
  </si>
  <si>
    <t>081139100</t>
  </si>
  <si>
    <t>voda povrchová pro jinou potřebu průmyslu a služeb</t>
  </si>
  <si>
    <t>Následná péče o stromy po dobu tří let</t>
  </si>
  <si>
    <t xml:space="preserve">    936 - Mobiliář</t>
  </si>
  <si>
    <t>936124112</t>
  </si>
  <si>
    <t>1778022541</t>
  </si>
  <si>
    <t>-2143915898</t>
  </si>
  <si>
    <t>2073545144</t>
  </si>
  <si>
    <t xml:space="preserve">Montáž koše odpadkového na sloupy svítidel </t>
  </si>
  <si>
    <t>odpadkový koš k Pražské lucerně  konstrukce - litina, ocel s vyjímatelným pozinkovaným košem</t>
  </si>
  <si>
    <t xml:space="preserve">Kabelová komora INTEGRAL 1730-18 </t>
  </si>
  <si>
    <t xml:space="preserve">    914 - Řezaná spára</t>
  </si>
  <si>
    <t>Rekonstrukce ulice Na Náměti, Kutná Hora</t>
  </si>
  <si>
    <t>592238500</t>
  </si>
  <si>
    <t>-696014363</t>
  </si>
  <si>
    <t>dno betonové pro uliční vpusť s výtokovým otvorem TBV 600/400 B</t>
  </si>
  <si>
    <t>Krycí deska TBV 600/60;80;100</t>
  </si>
  <si>
    <t xml:space="preserve">    915 - Záhonová obruba žulová</t>
  </si>
  <si>
    <t>obrubník kamenný zahradní  10x20x100</t>
  </si>
  <si>
    <t>hlinito-písčitý povrch fr.0-4 s 8% cementu tl 50 mm</t>
  </si>
  <si>
    <t>mozaika dlažební, žula 4/6 cm šedá VLASTNÍ ZDROJ INVESTORA</t>
  </si>
  <si>
    <t>kostka dlažební velká, žula velikost 10/15  NÁKUP-(ZBYLÉ MNOŽSTVÍ VLASTNÍ ZDROJ INVESTORA)</t>
  </si>
  <si>
    <t>Očištění vybouraných kostek žulových</t>
  </si>
  <si>
    <t>Osazení chrániček kabelových do rýhy s obsypem bez výkopových prací 4-otvorových</t>
  </si>
  <si>
    <t>Ohebná dvou-plášťová trubka, bez-halogenová, 40 mm  x</t>
  </si>
  <si>
    <t>Spojka pro dvou-plášťovou trubku, 40 mm  x</t>
  </si>
  <si>
    <t>Těsnění pro dvou-plášťovou trubku, 40 mm  x</t>
  </si>
  <si>
    <t>Zátka pro dvou-plášťovou trubku, 40 mm  x</t>
  </si>
  <si>
    <t>Kontrola průchodnosti celé venkovní kabelové trasy  Po uložení chráničky kabelů do země.</t>
  </si>
  <si>
    <t>5005921009</t>
  </si>
  <si>
    <t>50506021001</t>
  </si>
  <si>
    <t>50506031001</t>
  </si>
  <si>
    <t>50506031002</t>
  </si>
  <si>
    <t>50506031003</t>
  </si>
  <si>
    <t>223*1,01</t>
  </si>
  <si>
    <t>Potrubí z PVC propojení potrubí DN 150</t>
  </si>
  <si>
    <t>132201101</t>
  </si>
  <si>
    <t>Hloubení rýh š do 600 mm v hornině tř. 3 objemu do 100 m3</t>
  </si>
  <si>
    <t>-807546941</t>
  </si>
  <si>
    <t>132201109</t>
  </si>
  <si>
    <t>Příplatek za lepivost k hloubení rýh š do 600 mm v hornině tř. 3</t>
  </si>
  <si>
    <t>-1410929991</t>
  </si>
  <si>
    <t>174101101</t>
  </si>
  <si>
    <t>Zásyp jam, šachet rýh nebo kolem objektů sypaninou se zhutněním</t>
  </si>
  <si>
    <t>1373826391</t>
  </si>
  <si>
    <t>175111101</t>
  </si>
  <si>
    <t>Obsypání potrubí ručně sypaninou bez prohození, uloženou do 3 m</t>
  </si>
  <si>
    <t>492314927</t>
  </si>
  <si>
    <t>583312000</t>
  </si>
  <si>
    <t>-701348475</t>
  </si>
  <si>
    <t>167101101</t>
  </si>
  <si>
    <t>Nakládání výkopku z hornin tř. 1 až 4 do 100 m3</t>
  </si>
  <si>
    <t>-2027273992</t>
  </si>
  <si>
    <t>451541111</t>
  </si>
  <si>
    <t>Lože pod potrubí otevřený výkop ze štěrkodrtě</t>
  </si>
  <si>
    <t>-1719909730</t>
  </si>
  <si>
    <t>693775390</t>
  </si>
  <si>
    <t>-1462061333</t>
  </si>
  <si>
    <t>1735663133</t>
  </si>
  <si>
    <t>721171907</t>
  </si>
  <si>
    <t>Potrubí z PP vsazení odbočky do hrdla DN 160</t>
  </si>
  <si>
    <t>131764635</t>
  </si>
  <si>
    <t>721171917</t>
  </si>
  <si>
    <t>Potrubí z PP propojení potrubí DN 160</t>
  </si>
  <si>
    <t>-448007855</t>
  </si>
  <si>
    <t>Zkouška těsnosti potrubí kanalizace vodou do DN 200</t>
  </si>
  <si>
    <t>1888676076</t>
  </si>
  <si>
    <t>Kanalizační potrubí z tvrdého PVC jednovrstvé tuhost třídy SN8 DN 160</t>
  </si>
  <si>
    <t>1107171396</t>
  </si>
  <si>
    <t>51,5*0,6*1,0</t>
  </si>
  <si>
    <t>51,5*0,6*0,6</t>
  </si>
  <si>
    <t>51,5*0,6*0,3</t>
  </si>
  <si>
    <t>štěrkopísek netříděný zásypový materiál</t>
  </si>
  <si>
    <t>51,5*0,6*0,4</t>
  </si>
  <si>
    <t>51,5*0,6*0,1</t>
  </si>
  <si>
    <t>5 x 10 + 1,5</t>
  </si>
  <si>
    <t>133201101</t>
  </si>
  <si>
    <t>Hloubení šachet v hornině tř. 3 objemu do 100 m3</t>
  </si>
  <si>
    <t>1919261305</t>
  </si>
  <si>
    <t>133201109</t>
  </si>
  <si>
    <t>Příplatek za lepivost u hloubení šachet v hornině tř. 3</t>
  </si>
  <si>
    <t>-970581590</t>
  </si>
  <si>
    <t>171203111</t>
  </si>
  <si>
    <t>Uložení a hrubé rozhrnutí výkopku bez zhutnění v rovině a ve svahu do 1:5</t>
  </si>
  <si>
    <t>1898977012</t>
  </si>
  <si>
    <t>8*0,3*0,3*0,8</t>
  </si>
  <si>
    <t>KRYCÍ LIST SOUPISU PRACÍ</t>
  </si>
  <si>
    <t>REKAPITULACE SOUPISU PRACÍ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</si>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</sst>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\-#,##0.00"/>
    <numFmt numFmtId="165" formatCode="0.00%;\-0.00%"/>
    <numFmt numFmtId="166" formatCode="dd\.mm\.yyyy"/>
    <numFmt numFmtId="167" formatCode="#,##0.00000;\-#,##0.00000"/>
    <numFmt numFmtId="168" formatCode="#,##0.000;\-#,##0.000"/>
    <numFmt numFmtId="169" formatCode="#,##0.00_ ;\-#,##0.00\ "/>
    <numFmt numFmtId="170" formatCode="#,##0.000_ ;\-#,##0.000\ "/>
    <numFmt numFmtId="171" formatCode="#,##0.000"/>
    <numFmt numFmtId="172" formatCode="#,##0.00000"/>
  </numFmts>
  <fonts count="53" x14ac:knownFonts="1">
    <font>
      <sz val="8"/>
      <name val="Trebuchet MS"/>
      <charset val="238"/>
    </font>
    <font>
      <sz val="8"/>
      <color indexed="43"/>
      <name val="Trebuchet MS"/>
      <charset val="238"/>
    </font>
    <font>
      <sz val="8"/>
      <color indexed="48"/>
      <name val="Trebuchet MS"/>
      <charset val="238"/>
    </font>
    <font>
      <b/>
      <sz val="16"/>
      <name val="Trebuchet MS"/>
      <charset val="238"/>
    </font>
    <font>
      <sz val="9"/>
      <color indexed="55"/>
      <name val="Trebuchet MS"/>
      <charset val="238"/>
    </font>
    <font>
      <sz val="9"/>
      <name val="Trebuchet MS"/>
      <charset val="238"/>
    </font>
    <font>
      <b/>
      <sz val="12"/>
      <name val="Trebuchet MS"/>
      <charset val="238"/>
    </font>
    <font>
      <sz val="10"/>
      <color indexed="63"/>
      <name val="Trebuchet MS"/>
      <charset val="238"/>
    </font>
    <font>
      <sz val="10"/>
      <name val="Trebuchet MS"/>
      <charset val="238"/>
    </font>
    <font>
      <b/>
      <sz val="10"/>
      <name val="Trebuchet MS"/>
      <charset val="238"/>
    </font>
    <font>
      <sz val="8"/>
      <color indexed="55"/>
      <name val="Trebuchet MS"/>
      <charset val="238"/>
    </font>
    <font>
      <b/>
      <sz val="8"/>
      <color indexed="55"/>
      <name val="Trebuchet MS"/>
      <charset val="238"/>
    </font>
    <font>
      <b/>
      <sz val="10"/>
      <color indexed="63"/>
      <name val="Trebuchet MS"/>
      <charset val="238"/>
    </font>
    <font>
      <sz val="10"/>
      <color indexed="55"/>
      <name val="Trebuchet MS"/>
      <charset val="238"/>
    </font>
    <font>
      <b/>
      <sz val="9"/>
      <name val="Trebuchet MS"/>
      <charset val="238"/>
    </font>
    <font>
      <sz val="12"/>
      <color indexed="55"/>
      <name val="Trebuchet MS"/>
      <charset val="238"/>
    </font>
    <font>
      <b/>
      <sz val="12"/>
      <color indexed="16"/>
      <name val="Trebuchet MS"/>
      <charset val="238"/>
    </font>
    <font>
      <sz val="11"/>
      <name val="Trebuchet MS"/>
      <charset val="238"/>
    </font>
    <font>
      <b/>
      <sz val="11"/>
      <color indexed="56"/>
      <name val="Trebuchet MS"/>
      <charset val="238"/>
    </font>
    <font>
      <sz val="11"/>
      <color indexed="56"/>
      <name val="Trebuchet MS"/>
      <charset val="238"/>
    </font>
    <font>
      <sz val="11"/>
      <color indexed="55"/>
      <name val="Trebuchet MS"/>
      <charset val="238"/>
    </font>
    <font>
      <sz val="12"/>
      <name val="Trebuchet MS"/>
      <charset val="238"/>
    </font>
    <font>
      <sz val="12"/>
      <color indexed="56"/>
      <name val="Trebuchet MS"/>
      <charset val="238"/>
    </font>
    <font>
      <sz val="8"/>
      <color indexed="56"/>
      <name val="Trebuchet MS"/>
      <charset val="238"/>
    </font>
    <font>
      <sz val="10"/>
      <color indexed="56"/>
      <name val="Trebuchet MS"/>
      <charset val="238"/>
    </font>
    <font>
      <sz val="8"/>
      <color indexed="16"/>
      <name val="Trebuchet MS"/>
      <charset val="238"/>
    </font>
    <font>
      <b/>
      <sz val="8"/>
      <name val="Trebuchet MS"/>
      <charset val="238"/>
    </font>
    <font>
      <sz val="8"/>
      <color indexed="63"/>
      <name val="Trebuchet MS"/>
      <charset val="238"/>
    </font>
    <font>
      <sz val="8"/>
      <color indexed="10"/>
      <name val="Trebuchet MS"/>
      <charset val="238"/>
    </font>
    <font>
      <i/>
      <sz val="8"/>
      <color indexed="12"/>
      <name val="Trebuchet MS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Trebuchet MS"/>
      <family val="2"/>
      <charset val="238"/>
    </font>
    <font>
      <b/>
      <sz val="11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u/>
      <sz val="8"/>
      <color theme="10"/>
      <name val="Trebuchet MS"/>
      <charset val="238"/>
    </font>
    <font>
      <sz val="18"/>
      <color theme="10"/>
      <name val="Wingdings 2"/>
      <family val="1"/>
      <charset val="2"/>
    </font>
    <font>
      <u/>
      <sz val="10"/>
      <color theme="10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color rgb="FF969696"/>
      <name val="Trebuchet MS"/>
    </font>
    <font>
      <i/>
      <sz val="8"/>
      <color rgb="FF0000FF"/>
      <name val="Trebuchet MS"/>
    </font>
    <font>
      <sz val="8"/>
      <color rgb="FF505050"/>
      <name val="Trebuchet MS"/>
    </font>
    <font>
      <sz val="8"/>
      <color indexed="63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55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3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/>
      <top style="hair">
        <color rgb="FF969696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38" fillId="0" borderId="0" applyNumberFormat="0" applyFill="0" applyBorder="0" applyAlignment="0" applyProtection="0">
      <alignment vertical="top" wrapText="1"/>
      <protection locked="0"/>
    </xf>
  </cellStyleXfs>
  <cellXfs count="384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3" borderId="0" xfId="0" applyFill="1" applyAlignment="1">
      <alignment horizontal="left" vertical="top"/>
      <protection locked="0"/>
    </xf>
    <xf numFmtId="0" fontId="1" fillId="3" borderId="0" xfId="0" applyFont="1" applyFill="1" applyAlignment="1">
      <alignment horizontal="left" vertical="center"/>
      <protection locked="0"/>
    </xf>
    <xf numFmtId="0" fontId="0" fillId="3" borderId="0" xfId="0" applyFont="1" applyFill="1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2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top"/>
      <protection locked="0"/>
    </xf>
    <xf numFmtId="0" fontId="5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top"/>
      <protection locked="0"/>
    </xf>
    <xf numFmtId="0" fontId="4" fillId="0" borderId="0" xfId="0" applyFont="1" applyAlignment="1">
      <alignment horizontal="left" vertical="center"/>
      <protection locked="0"/>
    </xf>
    <xf numFmtId="0" fontId="0" fillId="0" borderId="6" xfId="0" applyBorder="1" applyAlignment="1">
      <alignment horizontal="left" vertical="top"/>
      <protection locked="0"/>
    </xf>
    <xf numFmtId="0" fontId="7" fillId="0" borderId="0" xfId="0" applyFont="1" applyAlignment="1">
      <alignment horizontal="left" vertical="center"/>
      <protection locked="0"/>
    </xf>
    <xf numFmtId="0" fontId="0" fillId="0" borderId="4" xfId="0" applyBorder="1" applyAlignment="1">
      <alignment horizontal="left" vertical="center"/>
      <protection locked="0"/>
    </xf>
    <xf numFmtId="0" fontId="0" fillId="0" borderId="5" xfId="0" applyBorder="1" applyAlignment="1">
      <alignment horizontal="left" vertical="center"/>
      <protection locked="0"/>
    </xf>
    <xf numFmtId="0" fontId="9" fillId="0" borderId="7" xfId="0" applyFont="1" applyBorder="1" applyAlignment="1">
      <alignment horizontal="lef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10" fillId="0" borderId="4" xfId="0" applyFont="1" applyBorder="1" applyAlignment="1">
      <alignment horizontal="left" vertical="center"/>
      <protection locked="0"/>
    </xf>
    <xf numFmtId="0" fontId="10" fillId="0" borderId="0" xfId="0" applyFont="1" applyAlignment="1">
      <alignment horizontal="left" vertical="center"/>
      <protection locked="0"/>
    </xf>
    <xf numFmtId="165" fontId="10" fillId="0" borderId="0" xfId="0" applyNumberFormat="1" applyFont="1" applyAlignment="1">
      <alignment horizontal="right" vertical="center"/>
      <protection locked="0"/>
    </xf>
    <xf numFmtId="0" fontId="10" fillId="0" borderId="0" xfId="0" applyFont="1" applyAlignment="1">
      <alignment horizontal="center" vertical="center"/>
      <protection locked="0"/>
    </xf>
    <xf numFmtId="0" fontId="10" fillId="0" borderId="5" xfId="0" applyFont="1" applyBorder="1" applyAlignment="1">
      <alignment horizontal="left" vertical="center"/>
      <protection locked="0"/>
    </xf>
    <xf numFmtId="0" fontId="0" fillId="2" borderId="0" xfId="0" applyFill="1" applyAlignment="1">
      <alignment horizontal="left" vertical="center"/>
      <protection locked="0"/>
    </xf>
    <xf numFmtId="0" fontId="6" fillId="2" borderId="8" xfId="0" applyFont="1" applyFill="1" applyBorder="1" applyAlignment="1">
      <alignment horizontal="left" vertical="center"/>
      <protection locked="0"/>
    </xf>
    <xf numFmtId="0" fontId="0" fillId="2" borderId="9" xfId="0" applyFill="1" applyBorder="1" applyAlignment="1">
      <alignment horizontal="left" vertical="center"/>
      <protection locked="0"/>
    </xf>
    <xf numFmtId="0" fontId="6" fillId="2" borderId="9" xfId="0" applyFont="1" applyFill="1" applyBorder="1" applyAlignment="1">
      <alignment horizontal="center" vertical="center"/>
      <protection locked="0"/>
    </xf>
    <xf numFmtId="0" fontId="12" fillId="0" borderId="10" xfId="0" applyFont="1" applyBorder="1" applyAlignment="1">
      <alignment horizontal="left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2" xfId="0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top"/>
      <protection locked="0"/>
    </xf>
    <xf numFmtId="0" fontId="0" fillId="0" borderId="14" xfId="0" applyBorder="1" applyAlignment="1">
      <alignment horizontal="left" vertical="top"/>
      <protection locked="0"/>
    </xf>
    <xf numFmtId="0" fontId="13" fillId="0" borderId="15" xfId="0" applyFont="1" applyBorder="1" applyAlignment="1">
      <alignment horizontal="left" vertical="center"/>
      <protection locked="0"/>
    </xf>
    <xf numFmtId="0" fontId="0" fillId="0" borderId="16" xfId="0" applyBorder="1" applyAlignment="1">
      <alignment horizontal="left" vertical="center"/>
      <protection locked="0"/>
    </xf>
    <xf numFmtId="0" fontId="13" fillId="0" borderId="16" xfId="0" applyFont="1" applyBorder="1" applyAlignment="1">
      <alignment horizontal="left" vertical="center"/>
      <protection locked="0"/>
    </xf>
    <xf numFmtId="0" fontId="0" fillId="0" borderId="17" xfId="0" applyBorder="1" applyAlignment="1">
      <alignment horizontal="left" vertical="center"/>
      <protection locked="0"/>
    </xf>
    <xf numFmtId="0" fontId="0" fillId="0" borderId="18" xfId="0" applyBorder="1" applyAlignment="1">
      <alignment horizontal="left" vertical="center"/>
      <protection locked="0"/>
    </xf>
    <xf numFmtId="0" fontId="0" fillId="0" borderId="19" xfId="0" applyBorder="1" applyAlignment="1">
      <alignment horizontal="left" vertical="center"/>
      <protection locked="0"/>
    </xf>
    <xf numFmtId="0" fontId="0" fillId="0" borderId="20" xfId="0" applyBorder="1" applyAlignment="1">
      <alignment horizontal="left" vertical="center"/>
      <protection locked="0"/>
    </xf>
    <xf numFmtId="0" fontId="0" fillId="0" borderId="1" xfId="0" applyBorder="1" applyAlignment="1">
      <alignment horizontal="left" vertical="center"/>
      <protection locked="0"/>
    </xf>
    <xf numFmtId="0" fontId="0" fillId="0" borderId="2" xfId="0" applyBorder="1" applyAlignment="1">
      <alignment horizontal="left" vertical="center"/>
      <protection locked="0"/>
    </xf>
    <xf numFmtId="0" fontId="0" fillId="0" borderId="3" xfId="0" applyBorder="1" applyAlignment="1">
      <alignment horizontal="left" vertical="center"/>
      <protection locked="0"/>
    </xf>
    <xf numFmtId="0" fontId="5" fillId="0" borderId="4" xfId="0" applyFont="1" applyBorder="1" applyAlignment="1">
      <alignment horizontal="left" vertical="center"/>
      <protection locked="0"/>
    </xf>
    <xf numFmtId="0" fontId="5" fillId="0" borderId="5" xfId="0" applyFont="1" applyBorder="1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6" fillId="0" borderId="4" xfId="0" applyFont="1" applyBorder="1" applyAlignment="1">
      <alignment horizontal="left" vertical="center"/>
      <protection locked="0"/>
    </xf>
    <xf numFmtId="0" fontId="6" fillId="0" borderId="5" xfId="0" applyFont="1" applyBorder="1" applyAlignment="1">
      <alignment horizontal="left" vertical="center"/>
      <protection locked="0"/>
    </xf>
    <xf numFmtId="0" fontId="14" fillId="0" borderId="0" xfId="0" applyFont="1" applyAlignment="1">
      <alignment horizontal="left" vertical="center"/>
      <protection locked="0"/>
    </xf>
    <xf numFmtId="0" fontId="0" fillId="0" borderId="14" xfId="0" applyBorder="1" applyAlignment="1">
      <alignment horizontal="left" vertical="center"/>
      <protection locked="0"/>
    </xf>
    <xf numFmtId="0" fontId="4" fillId="0" borderId="21" xfId="0" applyFont="1" applyBorder="1" applyAlignment="1">
      <alignment horizontal="center" vertical="center" wrapText="1"/>
      <protection locked="0"/>
    </xf>
    <xf numFmtId="0" fontId="4" fillId="0" borderId="22" xfId="0" applyFont="1" applyBorder="1" applyAlignment="1">
      <alignment horizontal="center" vertical="center" wrapText="1"/>
      <protection locked="0"/>
    </xf>
    <xf numFmtId="0" fontId="4" fillId="0" borderId="23" xfId="0" applyFont="1" applyBorder="1" applyAlignment="1">
      <alignment horizontal="center" vertical="center" wrapText="1"/>
      <protection locked="0"/>
    </xf>
    <xf numFmtId="0" fontId="0" fillId="0" borderId="0" xfId="0" applyAlignment="1">
      <alignment horizontal="left" vertical="center"/>
      <protection locked="0"/>
    </xf>
    <xf numFmtId="0" fontId="0" fillId="0" borderId="10" xfId="0" applyBorder="1" applyAlignment="1">
      <alignment horizontal="left" vertical="center"/>
      <protection locked="0"/>
    </xf>
    <xf numFmtId="0" fontId="16" fillId="0" borderId="0" xfId="0" applyFont="1" applyAlignment="1">
      <alignment horizontal="left" vertical="center"/>
      <protection locked="0"/>
    </xf>
    <xf numFmtId="164" fontId="15" fillId="0" borderId="13" xfId="0" applyNumberFormat="1" applyFont="1" applyBorder="1" applyAlignment="1">
      <alignment horizontal="right" vertical="center"/>
      <protection locked="0"/>
    </xf>
    <xf numFmtId="164" fontId="15" fillId="0" borderId="0" xfId="0" applyNumberFormat="1" applyFont="1" applyAlignment="1">
      <alignment horizontal="right" vertical="center"/>
      <protection locked="0"/>
    </xf>
    <xf numFmtId="167" fontId="15" fillId="0" borderId="0" xfId="0" applyNumberFormat="1" applyFont="1" applyAlignment="1">
      <alignment horizontal="right" vertical="center"/>
      <protection locked="0"/>
    </xf>
    <xf numFmtId="164" fontId="15" fillId="0" borderId="14" xfId="0" applyNumberFormat="1" applyFont="1" applyBorder="1" applyAlignment="1">
      <alignment horizontal="right" vertical="center"/>
      <protection locked="0"/>
    </xf>
    <xf numFmtId="0" fontId="17" fillId="0" borderId="0" xfId="0" applyFont="1" applyAlignment="1">
      <alignment horizontal="left" vertical="center"/>
      <protection locked="0"/>
    </xf>
    <xf numFmtId="0" fontId="17" fillId="0" borderId="4" xfId="0" applyFont="1" applyBorder="1" applyAlignment="1">
      <alignment horizontal="left" vertical="center"/>
      <protection locked="0"/>
    </xf>
    <xf numFmtId="0" fontId="18" fillId="0" borderId="0" xfId="0" applyFont="1" applyAlignment="1">
      <alignment horizontal="left" vertical="center"/>
      <protection locked="0"/>
    </xf>
    <xf numFmtId="0" fontId="17" fillId="0" borderId="5" xfId="0" applyFont="1" applyBorder="1" applyAlignment="1">
      <alignment horizontal="left" vertical="center"/>
      <protection locked="0"/>
    </xf>
    <xf numFmtId="164" fontId="20" fillId="0" borderId="15" xfId="0" applyNumberFormat="1" applyFont="1" applyBorder="1" applyAlignment="1">
      <alignment horizontal="right" vertical="center"/>
      <protection locked="0"/>
    </xf>
    <xf numFmtId="164" fontId="20" fillId="0" borderId="16" xfId="0" applyNumberFormat="1" applyFont="1" applyBorder="1" applyAlignment="1">
      <alignment horizontal="right" vertical="center"/>
      <protection locked="0"/>
    </xf>
    <xf numFmtId="167" fontId="20" fillId="0" borderId="16" xfId="0" applyNumberFormat="1" applyFont="1" applyBorder="1" applyAlignment="1">
      <alignment horizontal="right" vertical="center"/>
      <protection locked="0"/>
    </xf>
    <xf numFmtId="164" fontId="20" fillId="0" borderId="17" xfId="0" applyNumberFormat="1" applyFont="1" applyBorder="1" applyAlignment="1">
      <alignment horizontal="right" vertical="center"/>
      <protection locked="0"/>
    </xf>
    <xf numFmtId="0" fontId="16" fillId="2" borderId="0" xfId="0" applyFont="1" applyFill="1" applyAlignment="1">
      <alignment horizontal="left" vertical="center"/>
      <protection locked="0"/>
    </xf>
    <xf numFmtId="0" fontId="8" fillId="0" borderId="0" xfId="0" applyFont="1" applyAlignment="1">
      <alignment horizontal="left" vertical="center"/>
      <protection locked="0"/>
    </xf>
    <xf numFmtId="0" fontId="9" fillId="0" borderId="0" xfId="0" applyFont="1" applyAlignment="1">
      <alignment horizontal="left" vertical="center"/>
      <protection locked="0"/>
    </xf>
    <xf numFmtId="0" fontId="10" fillId="0" borderId="0" xfId="0" applyFont="1" applyAlignment="1">
      <alignment horizontal="right" vertical="center"/>
      <protection locked="0"/>
    </xf>
    <xf numFmtId="0" fontId="6" fillId="2" borderId="9" xfId="0" applyFont="1" applyFill="1" applyBorder="1" applyAlignment="1">
      <alignment horizontal="right" vertical="center"/>
      <protection locked="0"/>
    </xf>
    <xf numFmtId="0" fontId="21" fillId="0" borderId="0" xfId="0" applyFont="1" applyAlignment="1">
      <alignment horizontal="left" vertical="center"/>
      <protection locked="0"/>
    </xf>
    <xf numFmtId="0" fontId="22" fillId="0" borderId="4" xfId="0" applyFont="1" applyBorder="1" applyAlignment="1">
      <alignment horizontal="left" vertical="center"/>
      <protection locked="0"/>
    </xf>
    <xf numFmtId="0" fontId="22" fillId="0" borderId="0" xfId="0" applyFont="1" applyAlignment="1">
      <alignment horizontal="left" vertical="center"/>
      <protection locked="0"/>
    </xf>
    <xf numFmtId="0" fontId="22" fillId="0" borderId="5" xfId="0" applyFont="1" applyBorder="1" applyAlignment="1">
      <alignment horizontal="left" vertical="center"/>
      <protection locked="0"/>
    </xf>
    <xf numFmtId="0" fontId="24" fillId="0" borderId="4" xfId="0" applyFont="1" applyBorder="1" applyAlignment="1">
      <alignment horizontal="left" vertical="center"/>
      <protection locked="0"/>
    </xf>
    <xf numFmtId="0" fontId="24" fillId="0" borderId="0" xfId="0" applyFont="1" applyAlignment="1">
      <alignment horizontal="left" vertical="center"/>
      <protection locked="0"/>
    </xf>
    <xf numFmtId="0" fontId="24" fillId="0" borderId="5" xfId="0" applyFont="1" applyBorder="1" applyAlignment="1">
      <alignment horizontal="lef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4" fillId="0" borderId="24" xfId="0" applyFont="1" applyBorder="1" applyAlignment="1">
      <alignment horizontal="center" vertical="center"/>
      <protection locked="0"/>
    </xf>
    <xf numFmtId="0" fontId="0" fillId="0" borderId="0" xfId="0" applyFont="1" applyAlignment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  <protection locked="0"/>
    </xf>
    <xf numFmtId="0" fontId="5" fillId="2" borderId="21" xfId="0" applyFont="1" applyFill="1" applyBorder="1" applyAlignment="1">
      <alignment horizontal="center" vertical="center" wrapText="1"/>
      <protection locked="0"/>
    </xf>
    <xf numFmtId="0" fontId="5" fillId="2" borderId="22" xfId="0" applyFont="1" applyFill="1" applyBorder="1" applyAlignment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  <protection locked="0"/>
    </xf>
    <xf numFmtId="167" fontId="25" fillId="0" borderId="11" xfId="0" applyNumberFormat="1" applyFont="1" applyBorder="1" applyAlignment="1">
      <alignment horizontal="right"/>
      <protection locked="0"/>
    </xf>
    <xf numFmtId="167" fontId="25" fillId="0" borderId="12" xfId="0" applyNumberFormat="1" applyFont="1" applyBorder="1" applyAlignment="1">
      <alignment horizontal="right"/>
      <protection locked="0"/>
    </xf>
    <xf numFmtId="168" fontId="26" fillId="0" borderId="0" xfId="0" applyNumberFormat="1" applyFont="1" applyAlignment="1">
      <alignment horizontal="right" vertical="center"/>
      <protection locked="0"/>
    </xf>
    <xf numFmtId="0" fontId="0" fillId="0" borderId="0" xfId="0" applyFont="1" applyAlignment="1">
      <alignment horizontal="left"/>
      <protection locked="0"/>
    </xf>
    <xf numFmtId="0" fontId="23" fillId="0" borderId="4" xfId="0" applyFont="1" applyBorder="1" applyAlignment="1">
      <alignment horizontal="left"/>
      <protection locked="0"/>
    </xf>
    <xf numFmtId="0" fontId="22" fillId="0" borderId="0" xfId="0" applyFont="1" applyAlignment="1">
      <alignment horizontal="left"/>
      <protection locked="0"/>
    </xf>
    <xf numFmtId="0" fontId="23" fillId="0" borderId="0" xfId="0" applyFont="1" applyAlignment="1">
      <alignment horizontal="left"/>
      <protection locked="0"/>
    </xf>
    <xf numFmtId="0" fontId="23" fillId="0" borderId="5" xfId="0" applyFont="1" applyBorder="1" applyAlignment="1">
      <alignment horizontal="left"/>
      <protection locked="0"/>
    </xf>
    <xf numFmtId="0" fontId="23" fillId="0" borderId="13" xfId="0" applyFont="1" applyBorder="1" applyAlignment="1">
      <alignment horizontal="left"/>
      <protection locked="0"/>
    </xf>
    <xf numFmtId="167" fontId="23" fillId="0" borderId="0" xfId="0" applyNumberFormat="1" applyFont="1" applyAlignment="1">
      <alignment horizontal="right"/>
      <protection locked="0"/>
    </xf>
    <xf numFmtId="167" fontId="23" fillId="0" borderId="14" xfId="0" applyNumberFormat="1" applyFont="1" applyBorder="1" applyAlignment="1">
      <alignment horizontal="right"/>
      <protection locked="0"/>
    </xf>
    <xf numFmtId="168" fontId="23" fillId="0" borderId="0" xfId="0" applyNumberFormat="1" applyFont="1" applyAlignment="1">
      <alignment horizontal="right" vertical="center"/>
      <protection locked="0"/>
    </xf>
    <xf numFmtId="0" fontId="24" fillId="0" borderId="0" xfId="0" applyFont="1" applyAlignment="1">
      <alignment horizontal="left"/>
      <protection locked="0"/>
    </xf>
    <xf numFmtId="0" fontId="0" fillId="0" borderId="24" xfId="0" applyFont="1" applyBorder="1" applyAlignment="1">
      <alignment horizontal="center" vertical="center"/>
      <protection locked="0"/>
    </xf>
    <xf numFmtId="49" fontId="0" fillId="0" borderId="24" xfId="0" applyNumberFormat="1" applyFont="1" applyBorder="1" applyAlignment="1">
      <alignment horizontal="left" vertical="center" wrapText="1"/>
      <protection locked="0"/>
    </xf>
    <xf numFmtId="0" fontId="0" fillId="0" borderId="24" xfId="0" applyFont="1" applyBorder="1" applyAlignment="1">
      <alignment horizontal="center" vertical="center" wrapText="1"/>
      <protection locked="0"/>
    </xf>
    <xf numFmtId="168" fontId="0" fillId="0" borderId="24" xfId="0" applyNumberFormat="1" applyFont="1" applyBorder="1" applyAlignment="1">
      <alignment horizontal="right" vertical="center"/>
      <protection locked="0"/>
    </xf>
    <xf numFmtId="0" fontId="10" fillId="0" borderId="24" xfId="0" applyFont="1" applyBorder="1" applyAlignment="1">
      <alignment horizontal="left" vertical="center"/>
      <protection locked="0"/>
    </xf>
    <xf numFmtId="167" fontId="10" fillId="0" borderId="0" xfId="0" applyNumberFormat="1" applyFont="1" applyAlignment="1">
      <alignment horizontal="right" vertical="center"/>
      <protection locked="0"/>
    </xf>
    <xf numFmtId="167" fontId="10" fillId="0" borderId="14" xfId="0" applyNumberFormat="1" applyFont="1" applyBorder="1" applyAlignment="1">
      <alignment horizontal="right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168" fontId="0" fillId="0" borderId="0" xfId="0" applyNumberFormat="1" applyFont="1" applyAlignment="1">
      <alignment horizontal="right" vertical="center"/>
      <protection locked="0"/>
    </xf>
    <xf numFmtId="0" fontId="27" fillId="0" borderId="4" xfId="0" applyFont="1" applyBorder="1" applyAlignment="1">
      <alignment horizontal="left" vertical="center"/>
      <protection locked="0"/>
    </xf>
    <xf numFmtId="0" fontId="27" fillId="0" borderId="0" xfId="0" applyFont="1" applyAlignment="1">
      <alignment horizontal="left" vertical="center"/>
      <protection locked="0"/>
    </xf>
    <xf numFmtId="168" fontId="27" fillId="0" borderId="0" xfId="0" applyNumberFormat="1" applyFont="1" applyAlignment="1">
      <alignment horizontal="right" vertical="center"/>
      <protection locked="0"/>
    </xf>
    <xf numFmtId="0" fontId="27" fillId="0" borderId="5" xfId="0" applyFont="1" applyBorder="1" applyAlignment="1">
      <alignment horizontal="left" vertical="center"/>
      <protection locked="0"/>
    </xf>
    <xf numFmtId="0" fontId="27" fillId="0" borderId="13" xfId="0" applyFont="1" applyBorder="1" applyAlignment="1">
      <alignment horizontal="left" vertical="center"/>
      <protection locked="0"/>
    </xf>
    <xf numFmtId="0" fontId="27" fillId="0" borderId="14" xfId="0" applyFont="1" applyBorder="1" applyAlignment="1">
      <alignment horizontal="left" vertical="center"/>
      <protection locked="0"/>
    </xf>
    <xf numFmtId="0" fontId="28" fillId="0" borderId="4" xfId="0" applyFont="1" applyBorder="1" applyAlignment="1">
      <alignment horizontal="left" vertical="center"/>
      <protection locked="0"/>
    </xf>
    <xf numFmtId="0" fontId="28" fillId="0" borderId="0" xfId="0" applyFont="1" applyAlignment="1">
      <alignment horizontal="left" vertical="center"/>
      <protection locked="0"/>
    </xf>
    <xf numFmtId="168" fontId="28" fillId="0" borderId="0" xfId="0" applyNumberFormat="1" applyFont="1" applyAlignment="1">
      <alignment horizontal="right" vertical="center"/>
      <protection locked="0"/>
    </xf>
    <xf numFmtId="0" fontId="28" fillId="0" borderId="5" xfId="0" applyFont="1" applyBorder="1" applyAlignment="1">
      <alignment horizontal="left" vertical="center"/>
      <protection locked="0"/>
    </xf>
    <xf numFmtId="0" fontId="28" fillId="0" borderId="13" xfId="0" applyFont="1" applyBorder="1" applyAlignment="1">
      <alignment horizontal="left" vertical="center"/>
      <protection locked="0"/>
    </xf>
    <xf numFmtId="0" fontId="28" fillId="0" borderId="14" xfId="0" applyFont="1" applyBorder="1" applyAlignment="1">
      <alignment horizontal="left" vertical="center"/>
      <protection locked="0"/>
    </xf>
    <xf numFmtId="0" fontId="29" fillId="0" borderId="24" xfId="0" applyFont="1" applyBorder="1" applyAlignment="1">
      <alignment horizontal="center" vertical="center"/>
      <protection locked="0"/>
    </xf>
    <xf numFmtId="49" fontId="29" fillId="0" borderId="24" xfId="0" applyNumberFormat="1" applyFont="1" applyBorder="1" applyAlignment="1">
      <alignment horizontal="left" vertical="center" wrapText="1"/>
      <protection locked="0"/>
    </xf>
    <xf numFmtId="0" fontId="29" fillId="0" borderId="24" xfId="0" applyFont="1" applyBorder="1" applyAlignment="1">
      <alignment horizontal="center" vertical="center" wrapText="1"/>
      <protection locked="0"/>
    </xf>
    <xf numFmtId="168" fontId="29" fillId="0" borderId="24" xfId="0" applyNumberFormat="1" applyFont="1" applyBorder="1" applyAlignment="1">
      <alignment horizontal="right" vertical="center"/>
      <protection locked="0"/>
    </xf>
    <xf numFmtId="0" fontId="10" fillId="0" borderId="16" xfId="0" applyFont="1" applyBorder="1" applyAlignment="1">
      <alignment horizontal="center" vertical="center"/>
      <protection locked="0"/>
    </xf>
    <xf numFmtId="167" fontId="10" fillId="0" borderId="16" xfId="0" applyNumberFormat="1" applyFont="1" applyBorder="1" applyAlignment="1">
      <alignment horizontal="right" vertical="center"/>
      <protection locked="0"/>
    </xf>
    <xf numFmtId="167" fontId="10" fillId="0" borderId="17" xfId="0" applyNumberFormat="1" applyFont="1" applyBorder="1" applyAlignment="1">
      <alignment horizontal="right" vertical="center"/>
      <protection locked="0"/>
    </xf>
    <xf numFmtId="0" fontId="39" fillId="0" borderId="0" xfId="1" applyFont="1" applyAlignment="1">
      <alignment horizontal="center" vertical="center"/>
      <protection locked="0"/>
    </xf>
    <xf numFmtId="0" fontId="1" fillId="3" borderId="0" xfId="0" applyFont="1" applyFill="1" applyAlignment="1" applyProtection="1">
      <alignment horizontal="left" vertical="center"/>
    </xf>
    <xf numFmtId="0" fontId="30" fillId="3" borderId="0" xfId="0" applyFont="1" applyFill="1" applyAlignment="1" applyProtection="1">
      <alignment horizontal="left" vertical="center"/>
    </xf>
    <xf numFmtId="0" fontId="31" fillId="3" borderId="0" xfId="0" applyFont="1" applyFill="1" applyAlignment="1" applyProtection="1">
      <alignment horizontal="left" vertical="center"/>
    </xf>
    <xf numFmtId="0" fontId="40" fillId="3" borderId="0" xfId="1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horizontal="left" vertical="top"/>
    </xf>
    <xf numFmtId="0" fontId="0" fillId="0" borderId="0" xfId="0" applyFont="1" applyFill="1" applyBorder="1" applyAlignment="1">
      <alignment horizontal="left" vertical="center"/>
      <protection locked="0"/>
    </xf>
    <xf numFmtId="0" fontId="0" fillId="0" borderId="0" xfId="0" applyFont="1" applyFill="1" applyBorder="1" applyAlignment="1">
      <alignment horizontal="center" vertical="center" wrapText="1"/>
      <protection locked="0"/>
    </xf>
    <xf numFmtId="0" fontId="0" fillId="0" borderId="0" xfId="0" applyFont="1" applyFill="1" applyBorder="1" applyAlignment="1">
      <alignment horizontal="left"/>
      <protection locked="0"/>
    </xf>
    <xf numFmtId="0" fontId="32" fillId="0" borderId="0" xfId="0" applyFont="1" applyFill="1" applyBorder="1" applyAlignment="1">
      <alignment horizontal="left"/>
      <protection locked="0"/>
    </xf>
    <xf numFmtId="168" fontId="0" fillId="0" borderId="0" xfId="0" applyNumberFormat="1" applyFont="1" applyFill="1" applyBorder="1" applyAlignment="1">
      <alignment horizontal="left" vertical="center"/>
      <protection locked="0"/>
    </xf>
    <xf numFmtId="2" fontId="33" fillId="0" borderId="0" xfId="0" applyNumberFormat="1" applyFont="1" applyFill="1" applyBorder="1" applyAlignment="1">
      <alignment horizontal="left" vertical="center"/>
      <protection locked="0"/>
    </xf>
    <xf numFmtId="0" fontId="32" fillId="0" borderId="0" xfId="0" applyFont="1" applyFill="1" applyBorder="1" applyAlignment="1">
      <alignment horizontal="left" vertical="center"/>
      <protection locked="0"/>
    </xf>
    <xf numFmtId="2" fontId="34" fillId="0" borderId="0" xfId="0" applyNumberFormat="1" applyFont="1" applyFill="1" applyBorder="1" applyAlignment="1">
      <alignment horizontal="left" vertical="center"/>
      <protection locked="0"/>
    </xf>
    <xf numFmtId="169" fontId="35" fillId="0" borderId="0" xfId="0" applyNumberFormat="1" applyFont="1" applyFill="1" applyBorder="1" applyAlignment="1">
      <alignment horizontal="left" vertical="center"/>
      <protection locked="0"/>
    </xf>
    <xf numFmtId="0" fontId="33" fillId="0" borderId="0" xfId="0" applyFont="1" applyFill="1" applyBorder="1" applyAlignment="1">
      <alignment horizontal="left"/>
      <protection locked="0"/>
    </xf>
    <xf numFmtId="0" fontId="0" fillId="0" borderId="0" xfId="0" applyFill="1" applyBorder="1" applyAlignment="1">
      <alignment horizontal="left" vertical="top"/>
      <protection locked="0"/>
    </xf>
    <xf numFmtId="14" fontId="5" fillId="0" borderId="0" xfId="0" applyNumberFormat="1" applyFont="1" applyAlignment="1">
      <alignment horizontal="left" vertical="center"/>
      <protection locked="0"/>
    </xf>
    <xf numFmtId="0" fontId="0" fillId="0" borderId="26" xfId="0" applyFont="1" applyBorder="1" applyAlignment="1" applyProtection="1">
      <alignment horizontal="center" vertical="center"/>
    </xf>
    <xf numFmtId="49" fontId="0" fillId="0" borderId="26" xfId="0" applyNumberFormat="1" applyFont="1" applyBorder="1" applyAlignment="1" applyProtection="1">
      <alignment horizontal="left" vertical="center" wrapText="1"/>
    </xf>
    <xf numFmtId="0" fontId="0" fillId="0" borderId="26" xfId="0" applyFont="1" applyBorder="1" applyAlignment="1" applyProtection="1">
      <alignment horizontal="center" vertical="center" wrapText="1"/>
    </xf>
    <xf numFmtId="171" fontId="0" fillId="0" borderId="26" xfId="0" applyNumberFormat="1" applyFont="1" applyBorder="1" applyAlignment="1" applyProtection="1">
      <alignment vertical="center"/>
    </xf>
    <xf numFmtId="170" fontId="0" fillId="0" borderId="0" xfId="0" applyNumberFormat="1" applyFont="1" applyFill="1" applyBorder="1" applyAlignment="1">
      <alignment horizontal="left"/>
      <protection locked="0"/>
    </xf>
    <xf numFmtId="0" fontId="36" fillId="0" borderId="0" xfId="0" applyFont="1" applyAlignment="1">
      <alignment horizontal="left" vertical="center"/>
      <protection locked="0"/>
    </xf>
    <xf numFmtId="0" fontId="32" fillId="0" borderId="0" xfId="0" applyFont="1" applyAlignment="1">
      <alignment horizontal="left" vertical="center"/>
      <protection locked="0"/>
    </xf>
    <xf numFmtId="0" fontId="29" fillId="0" borderId="24" xfId="0" applyFont="1" applyFill="1" applyBorder="1" applyAlignment="1">
      <alignment horizontal="center" vertical="center"/>
      <protection locked="0"/>
    </xf>
    <xf numFmtId="49" fontId="29" fillId="0" borderId="24" xfId="0" applyNumberFormat="1" applyFont="1" applyFill="1" applyBorder="1" applyAlignment="1">
      <alignment horizontal="left" vertical="center" wrapText="1"/>
      <protection locked="0"/>
    </xf>
    <xf numFmtId="0" fontId="29" fillId="0" borderId="24" xfId="0" applyFont="1" applyFill="1" applyBorder="1" applyAlignment="1">
      <alignment horizontal="center" vertical="center" wrapText="1"/>
      <protection locked="0"/>
    </xf>
    <xf numFmtId="168" fontId="29" fillId="0" borderId="24" xfId="0" applyNumberFormat="1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left" vertical="center"/>
      <protection locked="0"/>
    </xf>
    <xf numFmtId="168" fontId="0" fillId="0" borderId="24" xfId="0" applyNumberFormat="1" applyFont="1" applyBorder="1" applyAlignment="1">
      <alignment horizontal="right" vertical="center"/>
      <protection locked="0"/>
    </xf>
    <xf numFmtId="0" fontId="23" fillId="0" borderId="0" xfId="0" applyFont="1" applyAlignment="1">
      <alignment horizontal="left"/>
      <protection locked="0"/>
    </xf>
    <xf numFmtId="168" fontId="29" fillId="0" borderId="24" xfId="0" applyNumberFormat="1" applyFont="1" applyBorder="1" applyAlignment="1">
      <alignment horizontal="right" vertical="center"/>
      <protection locked="0"/>
    </xf>
    <xf numFmtId="0" fontId="27" fillId="0" borderId="0" xfId="0" applyFont="1" applyAlignment="1">
      <alignment horizontal="left" vertical="center"/>
      <protection locked="0"/>
    </xf>
    <xf numFmtId="168" fontId="29" fillId="0" borderId="24" xfId="0" applyNumberFormat="1" applyFont="1" applyFill="1" applyBorder="1" applyAlignment="1">
      <alignment horizontal="right" vertical="center"/>
      <protection locked="0"/>
    </xf>
    <xf numFmtId="0" fontId="0" fillId="0" borderId="0" xfId="0" applyFont="1" applyAlignment="1" applyProtection="1">
      <alignment vertical="center"/>
    </xf>
    <xf numFmtId="0" fontId="0" fillId="0" borderId="27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horizontal="center" vertical="center"/>
      <protection locked="0"/>
    </xf>
    <xf numFmtId="49" fontId="0" fillId="0" borderId="26" xfId="0" applyNumberFormat="1" applyFont="1" applyBorder="1" applyAlignment="1" applyProtection="1">
      <alignment horizontal="left" vertical="center" wrapText="1"/>
      <protection locked="0"/>
    </xf>
    <xf numFmtId="0" fontId="0" fillId="0" borderId="26" xfId="0" applyFont="1" applyBorder="1" applyAlignment="1" applyProtection="1">
      <alignment horizontal="center" vertical="center" wrapText="1"/>
      <protection locked="0"/>
    </xf>
    <xf numFmtId="171" fontId="0" fillId="0" borderId="26" xfId="0" applyNumberFormat="1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vertical="center"/>
      <protection locked="0"/>
    </xf>
    <xf numFmtId="0" fontId="42" fillId="0" borderId="26" xfId="0" applyFont="1" applyBorder="1" applyAlignment="1" applyProtection="1">
      <alignment horizontal="left" vertical="center"/>
    </xf>
    <xf numFmtId="0" fontId="42" fillId="0" borderId="0" xfId="0" applyFont="1" applyBorder="1" applyAlignment="1" applyProtection="1">
      <alignment horizontal="center" vertical="center"/>
    </xf>
    <xf numFmtId="172" fontId="42" fillId="0" borderId="0" xfId="0" applyNumberFormat="1" applyFont="1" applyBorder="1" applyAlignment="1" applyProtection="1">
      <alignment vertical="center"/>
    </xf>
    <xf numFmtId="172" fontId="42" fillId="0" borderId="29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171" fontId="0" fillId="0" borderId="0" xfId="0" applyNumberFormat="1" applyFont="1" applyAlignment="1" applyProtection="1">
      <alignment vertical="center"/>
    </xf>
    <xf numFmtId="49" fontId="0" fillId="0" borderId="24" xfId="0" applyNumberFormat="1" applyFont="1" applyFill="1" applyBorder="1" applyAlignment="1">
      <alignment horizontal="left" vertical="center" wrapText="1"/>
      <protection locked="0"/>
    </xf>
    <xf numFmtId="0" fontId="43" fillId="0" borderId="26" xfId="0" applyFont="1" applyBorder="1" applyAlignment="1" applyProtection="1">
      <alignment horizontal="center" vertical="center"/>
      <protection locked="0"/>
    </xf>
    <xf numFmtId="49" fontId="43" fillId="0" borderId="26" xfId="0" applyNumberFormat="1" applyFont="1" applyBorder="1" applyAlignment="1" applyProtection="1">
      <alignment horizontal="left" vertical="center" wrapText="1"/>
      <protection locked="0"/>
    </xf>
    <xf numFmtId="0" fontId="43" fillId="0" borderId="26" xfId="0" applyFont="1" applyBorder="1" applyAlignment="1" applyProtection="1">
      <alignment horizontal="center" vertical="center" wrapText="1"/>
      <protection locked="0"/>
    </xf>
    <xf numFmtId="171" fontId="43" fillId="0" borderId="26" xfId="0" applyNumberFormat="1" applyFont="1" applyBorder="1" applyAlignment="1" applyProtection="1">
      <alignment vertical="center"/>
      <protection locked="0"/>
    </xf>
    <xf numFmtId="0" fontId="44" fillId="0" borderId="0" xfId="0" applyFont="1" applyAlignment="1" applyProtection="1">
      <alignment vertical="center"/>
    </xf>
    <xf numFmtId="0" fontId="44" fillId="0" borderId="27" xfId="0" applyFont="1" applyBorder="1" applyAlignment="1" applyProtection="1">
      <alignment vertical="center"/>
    </xf>
    <xf numFmtId="0" fontId="44" fillId="0" borderId="0" xfId="0" applyFont="1" applyBorder="1" applyAlignment="1" applyProtection="1">
      <alignment vertical="center"/>
    </xf>
    <xf numFmtId="0" fontId="44" fillId="0" borderId="0" xfId="0" applyFont="1" applyBorder="1" applyAlignment="1" applyProtection="1">
      <alignment horizontal="left" vertical="center"/>
    </xf>
    <xf numFmtId="171" fontId="44" fillId="0" borderId="0" xfId="0" applyNumberFormat="1" applyFont="1" applyBorder="1" applyAlignment="1" applyProtection="1">
      <alignment vertical="center"/>
    </xf>
    <xf numFmtId="0" fontId="44" fillId="0" borderId="28" xfId="0" applyFont="1" applyBorder="1" applyAlignment="1" applyProtection="1">
      <alignment vertical="center"/>
    </xf>
    <xf numFmtId="0" fontId="44" fillId="0" borderId="30" xfId="0" applyFont="1" applyBorder="1" applyAlignment="1" applyProtection="1">
      <alignment vertical="center"/>
    </xf>
    <xf numFmtId="0" fontId="44" fillId="0" borderId="29" xfId="0" applyFont="1" applyBorder="1" applyAlignment="1" applyProtection="1">
      <alignment vertical="center"/>
    </xf>
    <xf numFmtId="0" fontId="44" fillId="0" borderId="0" xfId="0" applyFont="1" applyAlignment="1" applyProtection="1">
      <alignment horizontal="left" vertical="center"/>
    </xf>
    <xf numFmtId="170" fontId="0" fillId="0" borderId="0" xfId="0" applyNumberFormat="1" applyFont="1" applyFill="1" applyBorder="1" applyAlignment="1">
      <alignment horizontal="left" vertical="center"/>
      <protection locked="0"/>
    </xf>
    <xf numFmtId="0" fontId="46" fillId="0" borderId="4" xfId="0" applyFont="1" applyBorder="1" applyAlignment="1">
      <alignment horizontal="left"/>
      <protection locked="0"/>
    </xf>
    <xf numFmtId="0" fontId="47" fillId="0" borderId="0" xfId="0" applyFont="1" applyAlignment="1">
      <alignment horizontal="left"/>
      <protection locked="0"/>
    </xf>
    <xf numFmtId="0" fontId="46" fillId="0" borderId="5" xfId="0" applyFont="1" applyBorder="1" applyAlignment="1">
      <alignment horizontal="left"/>
      <protection locked="0"/>
    </xf>
    <xf numFmtId="0" fontId="46" fillId="0" borderId="13" xfId="0" applyFont="1" applyBorder="1" applyAlignment="1">
      <alignment horizontal="left"/>
      <protection locked="0"/>
    </xf>
    <xf numFmtId="167" fontId="46" fillId="0" borderId="0" xfId="0" applyNumberFormat="1" applyFont="1" applyAlignment="1">
      <alignment horizontal="right"/>
      <protection locked="0"/>
    </xf>
    <xf numFmtId="167" fontId="46" fillId="0" borderId="14" xfId="0" applyNumberFormat="1" applyFont="1" applyBorder="1" applyAlignment="1">
      <alignment horizontal="right"/>
      <protection locked="0"/>
    </xf>
    <xf numFmtId="0" fontId="46" fillId="0" borderId="0" xfId="0" applyFont="1" applyAlignment="1">
      <alignment horizontal="left"/>
      <protection locked="0"/>
    </xf>
    <xf numFmtId="168" fontId="46" fillId="0" borderId="0" xfId="0" applyNumberFormat="1" applyFont="1" applyAlignment="1">
      <alignment horizontal="right" vertical="center"/>
      <protection locked="0"/>
    </xf>
    <xf numFmtId="0" fontId="48" fillId="0" borderId="24" xfId="0" applyFont="1" applyBorder="1" applyAlignment="1">
      <alignment horizontal="left" vertical="center"/>
      <protection locked="0"/>
    </xf>
    <xf numFmtId="0" fontId="48" fillId="0" borderId="0" xfId="0" applyFont="1" applyAlignment="1">
      <alignment horizontal="center" vertical="center"/>
      <protection locked="0"/>
    </xf>
    <xf numFmtId="167" fontId="48" fillId="0" borderId="0" xfId="0" applyNumberFormat="1" applyFont="1" applyAlignment="1">
      <alignment horizontal="right" vertical="center"/>
      <protection locked="0"/>
    </xf>
    <xf numFmtId="167" fontId="48" fillId="0" borderId="14" xfId="0" applyNumberFormat="1" applyFont="1" applyBorder="1" applyAlignment="1">
      <alignment horizontal="right" vertical="center"/>
      <protection locked="0"/>
    </xf>
    <xf numFmtId="0" fontId="49" fillId="0" borderId="26" xfId="0" applyFont="1" applyBorder="1" applyAlignment="1" applyProtection="1">
      <alignment horizontal="center" vertical="center"/>
      <protection locked="0"/>
    </xf>
    <xf numFmtId="49" fontId="49" fillId="0" borderId="26" xfId="0" applyNumberFormat="1" applyFont="1" applyBorder="1" applyAlignment="1" applyProtection="1">
      <alignment horizontal="left" vertical="center" wrapText="1"/>
      <protection locked="0"/>
    </xf>
    <xf numFmtId="0" fontId="49" fillId="0" borderId="26" xfId="0" applyFont="1" applyBorder="1" applyAlignment="1" applyProtection="1">
      <alignment horizontal="center" vertical="center" wrapText="1"/>
      <protection locked="0"/>
    </xf>
    <xf numFmtId="171" fontId="49" fillId="0" borderId="26" xfId="0" applyNumberFormat="1" applyFont="1" applyBorder="1" applyAlignment="1" applyProtection="1">
      <alignment vertical="center"/>
      <protection locked="0"/>
    </xf>
    <xf numFmtId="0" fontId="50" fillId="0" borderId="26" xfId="0" applyFont="1" applyBorder="1" applyAlignment="1" applyProtection="1">
      <alignment horizontal="left" vertical="center"/>
    </xf>
    <xf numFmtId="0" fontId="50" fillId="0" borderId="0" xfId="0" applyFont="1" applyBorder="1" applyAlignment="1" applyProtection="1">
      <alignment horizontal="center" vertical="center"/>
    </xf>
    <xf numFmtId="172" fontId="50" fillId="0" borderId="0" xfId="0" applyNumberFormat="1" applyFont="1" applyBorder="1" applyAlignment="1" applyProtection="1">
      <alignment vertical="center"/>
    </xf>
    <xf numFmtId="172" fontId="50" fillId="0" borderId="29" xfId="0" applyNumberFormat="1" applyFont="1" applyBorder="1" applyAlignment="1" applyProtection="1">
      <alignment vertical="center"/>
    </xf>
    <xf numFmtId="0" fontId="41" fillId="0" borderId="24" xfId="0" applyFont="1" applyBorder="1" applyAlignment="1">
      <alignment horizontal="center" vertical="center" wrapText="1"/>
      <protection locked="0"/>
    </xf>
    <xf numFmtId="49" fontId="41" fillId="0" borderId="24" xfId="0" applyNumberFormat="1" applyFont="1" applyBorder="1" applyAlignment="1">
      <alignment horizontal="left" vertical="center" wrapText="1"/>
      <protection locked="0"/>
    </xf>
    <xf numFmtId="0" fontId="0" fillId="0" borderId="0" xfId="0" applyFont="1" applyFill="1" applyAlignment="1">
      <alignment horizontal="left"/>
      <protection locked="0"/>
    </xf>
    <xf numFmtId="0" fontId="47" fillId="0" borderId="0" xfId="0" applyFont="1" applyFill="1" applyAlignment="1">
      <alignment horizontal="left"/>
      <protection locked="0"/>
    </xf>
    <xf numFmtId="0" fontId="23" fillId="0" borderId="5" xfId="0" applyFont="1" applyFill="1" applyBorder="1" applyAlignment="1">
      <alignment horizontal="left"/>
      <protection locked="0"/>
    </xf>
    <xf numFmtId="0" fontId="0" fillId="0" borderId="24" xfId="0" applyFont="1" applyFill="1" applyBorder="1" applyAlignment="1">
      <alignment horizontal="center" vertical="center"/>
      <protection locked="0"/>
    </xf>
    <xf numFmtId="49" fontId="32" fillId="0" borderId="24" xfId="0" applyNumberFormat="1" applyFont="1" applyFill="1" applyBorder="1" applyAlignment="1">
      <alignment horizontal="left" vertical="center" wrapText="1"/>
      <protection locked="0"/>
    </xf>
    <xf numFmtId="0" fontId="32" fillId="0" borderId="24" xfId="0" applyFont="1" applyFill="1" applyBorder="1" applyAlignment="1">
      <alignment horizontal="center" vertical="center" wrapText="1"/>
      <protection locked="0"/>
    </xf>
    <xf numFmtId="168" fontId="0" fillId="0" borderId="24" xfId="0" applyNumberFormat="1" applyFont="1" applyFill="1" applyBorder="1" applyAlignment="1">
      <alignment horizontal="right" vertical="center"/>
      <protection locked="0"/>
    </xf>
    <xf numFmtId="0" fontId="0" fillId="0" borderId="5" xfId="0" applyFill="1" applyBorder="1" applyAlignment="1">
      <alignment horizontal="left" vertical="center"/>
      <protection locked="0"/>
    </xf>
    <xf numFmtId="0" fontId="41" fillId="0" borderId="24" xfId="0" applyFont="1" applyFill="1" applyBorder="1" applyAlignment="1">
      <alignment horizontal="center" vertical="center" wrapText="1"/>
      <protection locked="0"/>
    </xf>
    <xf numFmtId="0" fontId="0" fillId="0" borderId="24" xfId="0" applyFont="1" applyFill="1" applyBorder="1" applyAlignment="1">
      <alignment horizontal="center" vertical="center" wrapText="1"/>
      <protection locked="0"/>
    </xf>
    <xf numFmtId="49" fontId="41" fillId="0" borderId="24" xfId="0" applyNumberFormat="1" applyFont="1" applyFill="1" applyBorder="1" applyAlignment="1">
      <alignment horizontal="left" vertical="center" wrapText="1"/>
      <protection locked="0"/>
    </xf>
    <xf numFmtId="0" fontId="41" fillId="0" borderId="24" xfId="0" applyFont="1" applyBorder="1" applyAlignment="1">
      <alignment horizontal="center" vertical="center"/>
      <protection locked="0"/>
    </xf>
    <xf numFmtId="168" fontId="41" fillId="0" borderId="24" xfId="0" applyNumberFormat="1" applyFont="1" applyBorder="1" applyAlignment="1">
      <alignment horizontal="right" vertical="center"/>
      <protection locked="0"/>
    </xf>
    <xf numFmtId="0" fontId="0" fillId="0" borderId="0" xfId="0" applyFont="1" applyAlignment="1">
      <alignment horizontal="left" vertical="center"/>
      <protection locked="0"/>
    </xf>
    <xf numFmtId="168" fontId="29" fillId="0" borderId="24" xfId="0" applyNumberFormat="1" applyFont="1" applyBorder="1" applyAlignment="1">
      <alignment horizontal="right" vertical="center"/>
      <protection locked="0"/>
    </xf>
    <xf numFmtId="171" fontId="49" fillId="0" borderId="26" xfId="0" applyNumberFormat="1" applyFont="1" applyBorder="1" applyAlignment="1" applyProtection="1">
      <alignment vertical="center"/>
      <protection locked="0"/>
    </xf>
    <xf numFmtId="171" fontId="0" fillId="0" borderId="26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horizontal="left" vertical="center"/>
      <protection locked="0"/>
    </xf>
    <xf numFmtId="168" fontId="29" fillId="0" borderId="24" xfId="0" applyNumberFormat="1" applyFont="1" applyFill="1" applyBorder="1" applyAlignment="1">
      <alignment horizontal="right" vertical="center"/>
      <protection locked="0"/>
    </xf>
    <xf numFmtId="168" fontId="0" fillId="0" borderId="24" xfId="0" applyNumberFormat="1" applyFont="1" applyFill="1" applyBorder="1" applyAlignment="1">
      <alignment horizontal="right" vertical="center"/>
      <protection locked="0"/>
    </xf>
    <xf numFmtId="0" fontId="0" fillId="0" borderId="0" xfId="0" applyFont="1" applyAlignment="1">
      <alignment horizontal="left" vertical="center"/>
      <protection locked="0"/>
    </xf>
    <xf numFmtId="168" fontId="0" fillId="0" borderId="24" xfId="0" applyNumberFormat="1" applyFont="1" applyFill="1" applyBorder="1" applyAlignment="1">
      <alignment horizontal="right" vertical="center"/>
      <protection locked="0"/>
    </xf>
    <xf numFmtId="0" fontId="0" fillId="0" borderId="0" xfId="0" applyFont="1" applyFill="1" applyAlignment="1">
      <alignment horizontal="left" vertical="center"/>
      <protection locked="0"/>
    </xf>
    <xf numFmtId="0" fontId="27" fillId="0" borderId="0" xfId="0" applyFont="1" applyFill="1" applyAlignment="1">
      <alignment horizontal="left" vertical="center"/>
      <protection locked="0"/>
    </xf>
    <xf numFmtId="168" fontId="27" fillId="0" borderId="0" xfId="0" applyNumberFormat="1" applyFont="1" applyFill="1" applyAlignment="1">
      <alignment horizontal="right" vertical="center"/>
      <protection locked="0"/>
    </xf>
    <xf numFmtId="0" fontId="0" fillId="0" borderId="0" xfId="0" applyFont="1" applyAlignment="1">
      <alignment horizontal="left" vertical="center"/>
      <protection locked="0"/>
    </xf>
    <xf numFmtId="168" fontId="0" fillId="0" borderId="24" xfId="0" applyNumberFormat="1" applyFont="1" applyBorder="1" applyAlignment="1">
      <alignment horizontal="right" vertical="center"/>
      <protection locked="0"/>
    </xf>
    <xf numFmtId="168" fontId="29" fillId="0" borderId="24" xfId="0" applyNumberFormat="1" applyFont="1" applyBorder="1" applyAlignment="1">
      <alignment horizontal="right" vertical="center"/>
      <protection locked="0"/>
    </xf>
    <xf numFmtId="0" fontId="0" fillId="0" borderId="0" xfId="0" applyFont="1" applyAlignment="1">
      <alignment horizontal="left" vertical="center"/>
      <protection locked="0"/>
    </xf>
    <xf numFmtId="168" fontId="0" fillId="0" borderId="24" xfId="0" applyNumberFormat="1" applyFont="1" applyBorder="1" applyAlignment="1">
      <alignment horizontal="right" vertical="center"/>
      <protection locked="0"/>
    </xf>
    <xf numFmtId="164" fontId="16" fillId="0" borderId="0" xfId="0" applyNumberFormat="1" applyFont="1" applyAlignment="1">
      <alignment horizontal="right" vertical="center"/>
      <protection locked="0"/>
    </xf>
    <xf numFmtId="0" fontId="0" fillId="0" borderId="0" xfId="0" applyFont="1" applyAlignment="1">
      <alignment horizontal="left" vertical="center"/>
      <protection locked="0"/>
    </xf>
    <xf numFmtId="164" fontId="16" fillId="2" borderId="0" xfId="0" applyNumberFormat="1" applyFont="1" applyFill="1" applyAlignment="1">
      <alignment horizontal="right" vertical="center"/>
      <protection locked="0"/>
    </xf>
    <xf numFmtId="0" fontId="0" fillId="2" borderId="0" xfId="0" applyFill="1" applyAlignment="1">
      <alignment horizontal="left" vertical="center"/>
      <protection locked="0"/>
    </xf>
    <xf numFmtId="0" fontId="2" fillId="2" borderId="0" xfId="0" applyFont="1" applyFill="1" applyAlignment="1">
      <alignment horizontal="center" vertical="center"/>
      <protection locked="0"/>
    </xf>
    <xf numFmtId="0" fontId="0" fillId="0" borderId="0" xfId="0" applyFont="1" applyAlignment="1">
      <alignment horizontal="left" vertical="top"/>
      <protection locked="0"/>
    </xf>
    <xf numFmtId="164" fontId="19" fillId="0" borderId="0" xfId="0" applyNumberFormat="1" applyFont="1" applyAlignment="1">
      <alignment horizontal="right" vertical="center"/>
      <protection locked="0"/>
    </xf>
    <xf numFmtId="0" fontId="19" fillId="0" borderId="0" xfId="0" applyFont="1" applyAlignment="1">
      <alignment horizontal="left" vertical="center"/>
      <protection locked="0"/>
    </xf>
    <xf numFmtId="0" fontId="15" fillId="0" borderId="10" xfId="0" applyFont="1" applyBorder="1" applyAlignment="1">
      <alignment horizontal="center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5" fillId="2" borderId="9" xfId="0" applyFont="1" applyFill="1" applyBorder="1" applyAlignment="1">
      <alignment horizontal="center" vertical="center"/>
      <protection locked="0"/>
    </xf>
    <xf numFmtId="0" fontId="0" fillId="2" borderId="9" xfId="0" applyFill="1" applyBorder="1" applyAlignment="1">
      <alignment horizontal="left" vertical="center"/>
      <protection locked="0"/>
    </xf>
    <xf numFmtId="0" fontId="0" fillId="2" borderId="25" xfId="0" applyFill="1" applyBorder="1" applyAlignment="1">
      <alignment horizontal="left" vertical="center"/>
      <protection locked="0"/>
    </xf>
    <xf numFmtId="164" fontId="9" fillId="0" borderId="7" xfId="0" applyNumberFormat="1" applyFont="1" applyBorder="1" applyAlignment="1">
      <alignment horizontal="righ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165" fontId="10" fillId="0" borderId="0" xfId="0" applyNumberFormat="1" applyFont="1" applyAlignment="1">
      <alignment horizontal="right" vertical="center"/>
      <protection locked="0"/>
    </xf>
    <xf numFmtId="0" fontId="10" fillId="0" borderId="0" xfId="0" applyFont="1" applyAlignment="1">
      <alignment horizontal="left" vertical="center"/>
      <protection locked="0"/>
    </xf>
    <xf numFmtId="164" fontId="11" fillId="0" borderId="0" xfId="0" applyNumberFormat="1" applyFont="1" applyAlignment="1">
      <alignment horizontal="right" vertical="center"/>
      <protection locked="0"/>
    </xf>
    <xf numFmtId="0" fontId="37" fillId="0" borderId="0" xfId="0" applyFont="1" applyAlignment="1">
      <alignment horizontal="left" vertical="center" wrapText="1"/>
      <protection locked="0"/>
    </xf>
    <xf numFmtId="0" fontId="18" fillId="0" borderId="0" xfId="0" applyFont="1" applyAlignment="1">
      <alignment horizontal="left" vertical="center"/>
      <protection locked="0"/>
    </xf>
    <xf numFmtId="0" fontId="18" fillId="0" borderId="0" xfId="0" applyFont="1" applyAlignment="1">
      <alignment horizontal="left" vertical="center" wrapText="1"/>
      <protection locked="0"/>
    </xf>
    <xf numFmtId="0" fontId="16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5" fillId="0" borderId="0" xfId="0" applyFont="1" applyAlignment="1">
      <alignment horizontal="left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166" fontId="5" fillId="0" borderId="0" xfId="0" applyNumberFormat="1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6" fillId="2" borderId="9" xfId="0" applyFont="1" applyFill="1" applyBorder="1" applyAlignment="1">
      <alignment horizontal="left" vertical="center"/>
      <protection locked="0"/>
    </xf>
    <xf numFmtId="164" fontId="6" fillId="2" borderId="9" xfId="0" applyNumberFormat="1" applyFont="1" applyFill="1" applyBorder="1" applyAlignment="1">
      <alignment horizontal="right" vertical="center"/>
      <protection locked="0"/>
    </xf>
    <xf numFmtId="0" fontId="2" fillId="0" borderId="0" xfId="0" applyFont="1" applyAlignment="1">
      <alignment horizontal="center" vertical="center"/>
      <protection locked="0"/>
    </xf>
    <xf numFmtId="0" fontId="35" fillId="0" borderId="0" xfId="0" applyFont="1" applyAlignment="1">
      <alignment horizontal="left" vertical="top" wrapText="1"/>
      <protection locked="0"/>
    </xf>
    <xf numFmtId="0" fontId="29" fillId="0" borderId="24" xfId="0" applyFont="1" applyBorder="1" applyAlignment="1">
      <alignment horizontal="left" vertical="center" wrapText="1"/>
      <protection locked="0"/>
    </xf>
    <xf numFmtId="0" fontId="29" fillId="0" borderId="24" xfId="0" applyFont="1" applyBorder="1" applyAlignment="1">
      <alignment horizontal="left" vertical="center"/>
      <protection locked="0"/>
    </xf>
    <xf numFmtId="168" fontId="29" fillId="0" borderId="24" xfId="0" applyNumberFormat="1" applyFont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0" fillId="0" borderId="24" xfId="0" applyFont="1" applyBorder="1" applyAlignment="1">
      <alignment horizontal="left" vertical="center" wrapText="1"/>
      <protection locked="0"/>
    </xf>
    <xf numFmtId="168" fontId="0" fillId="0" borderId="24" xfId="0" applyNumberFormat="1" applyFont="1" applyBorder="1" applyAlignment="1">
      <alignment horizontal="right" vertical="center"/>
      <protection locked="0"/>
    </xf>
    <xf numFmtId="0" fontId="41" fillId="0" borderId="24" xfId="0" applyFont="1" applyBorder="1" applyAlignment="1">
      <alignment horizontal="left" vertical="center" wrapText="1"/>
      <protection locked="0"/>
    </xf>
    <xf numFmtId="168" fontId="29" fillId="0" borderId="24" xfId="0" applyNumberFormat="1" applyFont="1" applyFill="1" applyBorder="1" applyAlignment="1">
      <alignment horizontal="right" vertical="center"/>
      <protection locked="0"/>
    </xf>
    <xf numFmtId="0" fontId="29" fillId="0" borderId="24" xfId="0" applyFont="1" applyFill="1" applyBorder="1" applyAlignment="1">
      <alignment horizontal="left" vertical="center"/>
      <protection locked="0"/>
    </xf>
    <xf numFmtId="0" fontId="0" fillId="0" borderId="24" xfId="0" applyFill="1" applyBorder="1" applyAlignment="1">
      <alignment horizontal="left" vertical="center"/>
      <protection locked="0"/>
    </xf>
    <xf numFmtId="0" fontId="32" fillId="0" borderId="24" xfId="0" applyFont="1" applyFill="1" applyBorder="1" applyAlignment="1">
      <alignment horizontal="left" vertical="center" wrapText="1"/>
      <protection locked="0"/>
    </xf>
    <xf numFmtId="168" fontId="0" fillId="0" borderId="24" xfId="0" applyNumberFormat="1" applyFont="1" applyFill="1" applyBorder="1" applyAlignment="1">
      <alignment horizontal="right" vertical="center"/>
      <protection locked="0"/>
    </xf>
    <xf numFmtId="168" fontId="47" fillId="0" borderId="0" xfId="0" applyNumberFormat="1" applyFont="1" applyAlignment="1">
      <alignment horizontal="right"/>
      <protection locked="0"/>
    </xf>
    <xf numFmtId="0" fontId="46" fillId="0" borderId="0" xfId="0" applyFont="1" applyAlignment="1">
      <alignment horizontal="left"/>
      <protection locked="0"/>
    </xf>
    <xf numFmtId="0" fontId="32" fillId="0" borderId="24" xfId="0" applyFont="1" applyBorder="1" applyAlignment="1">
      <alignment horizontal="left" vertical="center" wrapText="1"/>
      <protection locked="0"/>
    </xf>
    <xf numFmtId="0" fontId="0" fillId="0" borderId="26" xfId="0" applyFont="1" applyBorder="1" applyAlignment="1" applyProtection="1">
      <alignment horizontal="left" vertical="center" wrapText="1"/>
      <protection locked="0"/>
    </xf>
    <xf numFmtId="171" fontId="0" fillId="0" borderId="26" xfId="0" applyNumberFormat="1" applyFont="1" applyBorder="1" applyAlignment="1" applyProtection="1">
      <alignment vertical="center"/>
      <protection locked="0"/>
    </xf>
    <xf numFmtId="171" fontId="0" fillId="0" borderId="26" xfId="0" applyNumberFormat="1" applyFont="1" applyBorder="1" applyAlignment="1" applyProtection="1">
      <alignment vertical="center"/>
    </xf>
    <xf numFmtId="168" fontId="24" fillId="0" borderId="0" xfId="0" applyNumberFormat="1" applyFont="1" applyAlignment="1">
      <alignment horizontal="right"/>
      <protection locked="0"/>
    </xf>
    <xf numFmtId="0" fontId="23" fillId="0" borderId="0" xfId="0" applyFont="1" applyAlignment="1">
      <alignment horizontal="left"/>
      <protection locked="0"/>
    </xf>
    <xf numFmtId="0" fontId="0" fillId="0" borderId="24" xfId="0" applyFont="1" applyFill="1" applyBorder="1" applyAlignment="1">
      <alignment horizontal="left" vertical="center" wrapText="1"/>
      <protection locked="0"/>
    </xf>
    <xf numFmtId="168" fontId="24" fillId="0" borderId="0" xfId="0" applyNumberFormat="1" applyFont="1" applyFill="1" applyAlignment="1">
      <alignment horizontal="right"/>
      <protection locked="0"/>
    </xf>
    <xf numFmtId="0" fontId="23" fillId="0" borderId="0" xfId="0" applyFont="1" applyFill="1" applyAlignment="1">
      <alignment horizontal="left"/>
      <protection locked="0"/>
    </xf>
    <xf numFmtId="0" fontId="41" fillId="0" borderId="24" xfId="0" applyFont="1" applyFill="1" applyBorder="1" applyAlignment="1">
      <alignment horizontal="left" vertical="center" wrapText="1"/>
      <protection locked="0"/>
    </xf>
    <xf numFmtId="0" fontId="43" fillId="0" borderId="26" xfId="0" applyFont="1" applyBorder="1" applyAlignment="1" applyProtection="1">
      <alignment horizontal="left" vertical="center" wrapText="1"/>
      <protection locked="0"/>
    </xf>
    <xf numFmtId="171" fontId="43" fillId="0" borderId="26" xfId="0" applyNumberFormat="1" applyFont="1" applyBorder="1" applyAlignment="1" applyProtection="1">
      <alignment vertical="center"/>
      <protection locked="0"/>
    </xf>
    <xf numFmtId="0" fontId="27" fillId="0" borderId="0" xfId="0" applyFont="1" applyAlignment="1">
      <alignment horizontal="left" vertical="center" wrapText="1"/>
      <protection locked="0"/>
    </xf>
    <xf numFmtId="0" fontId="27" fillId="0" borderId="0" xfId="0" applyFont="1" applyAlignment="1">
      <alignment horizontal="left" vertical="center"/>
      <protection locked="0"/>
    </xf>
    <xf numFmtId="168" fontId="0" fillId="0" borderId="21" xfId="0" applyNumberFormat="1" applyFont="1" applyBorder="1" applyAlignment="1">
      <alignment horizontal="right" vertical="center"/>
      <protection locked="0"/>
    </xf>
    <xf numFmtId="168" fontId="0" fillId="0" borderId="22" xfId="0" applyNumberFormat="1" applyFont="1" applyBorder="1" applyAlignment="1">
      <alignment horizontal="right" vertical="center"/>
      <protection locked="0"/>
    </xf>
    <xf numFmtId="168" fontId="0" fillId="0" borderId="23" xfId="0" applyNumberFormat="1" applyFont="1" applyBorder="1" applyAlignment="1">
      <alignment horizontal="right" vertical="center"/>
      <protection locked="0"/>
    </xf>
    <xf numFmtId="168" fontId="29" fillId="0" borderId="21" xfId="0" applyNumberFormat="1" applyFont="1" applyBorder="1" applyAlignment="1">
      <alignment horizontal="right" vertical="center"/>
      <protection locked="0"/>
    </xf>
    <xf numFmtId="168" fontId="29" fillId="0" borderId="22" xfId="0" applyNumberFormat="1" applyFont="1" applyBorder="1" applyAlignment="1">
      <alignment horizontal="right" vertical="center"/>
      <protection locked="0"/>
    </xf>
    <xf numFmtId="168" fontId="29" fillId="0" borderId="23" xfId="0" applyNumberFormat="1" applyFont="1" applyBorder="1" applyAlignment="1">
      <alignment horizontal="right" vertical="center"/>
      <protection locked="0"/>
    </xf>
    <xf numFmtId="49" fontId="45" fillId="0" borderId="0" xfId="0" applyNumberFormat="1" applyFont="1" applyAlignment="1">
      <alignment horizontal="left" vertical="center" wrapText="1"/>
      <protection locked="0"/>
    </xf>
    <xf numFmtId="49" fontId="27" fillId="0" borderId="0" xfId="0" applyNumberFormat="1" applyFont="1" applyAlignment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 wrapText="1"/>
    </xf>
    <xf numFmtId="0" fontId="44" fillId="0" borderId="31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horizontal="left" vertical="center" wrapText="1"/>
    </xf>
    <xf numFmtId="171" fontId="49" fillId="0" borderId="26" xfId="0" applyNumberFormat="1" applyFont="1" applyBorder="1" applyAlignment="1" applyProtection="1">
      <alignment vertical="center"/>
      <protection locked="0"/>
    </xf>
    <xf numFmtId="0" fontId="49" fillId="0" borderId="26" xfId="0" applyFont="1" applyBorder="1" applyAlignment="1" applyProtection="1">
      <alignment horizontal="left" vertical="center" wrapText="1"/>
      <protection locked="0"/>
    </xf>
    <xf numFmtId="164" fontId="24" fillId="0" borderId="0" xfId="0" applyNumberFormat="1" applyFont="1" applyAlignment="1">
      <alignment horizontal="right" vertical="center"/>
      <protection locked="0"/>
    </xf>
    <xf numFmtId="0" fontId="23" fillId="0" borderId="0" xfId="0" applyFont="1" applyAlignment="1">
      <alignment horizontal="left" vertical="center"/>
      <protection locked="0"/>
    </xf>
    <xf numFmtId="0" fontId="45" fillId="0" borderId="0" xfId="0" applyFont="1" applyAlignment="1">
      <alignment horizontal="left" vertical="center" wrapText="1"/>
      <protection locked="0"/>
    </xf>
    <xf numFmtId="0" fontId="28" fillId="0" borderId="0" xfId="0" applyFont="1" applyAlignment="1">
      <alignment horizontal="left" vertical="center" wrapText="1"/>
      <protection locked="0"/>
    </xf>
    <xf numFmtId="0" fontId="28" fillId="0" borderId="0" xfId="0" applyFont="1" applyAlignment="1">
      <alignment horizontal="left" vertical="center"/>
      <protection locked="0"/>
    </xf>
    <xf numFmtId="0" fontId="40" fillId="3" borderId="0" xfId="1" applyFont="1" applyFill="1" applyAlignment="1" applyProtection="1">
      <alignment horizontal="center" vertical="center"/>
    </xf>
    <xf numFmtId="0" fontId="41" fillId="0" borderId="24" xfId="0" applyFont="1" applyBorder="1" applyAlignment="1">
      <alignment horizontal="left" vertical="center"/>
      <protection locked="0"/>
    </xf>
    <xf numFmtId="168" fontId="41" fillId="0" borderId="24" xfId="0" applyNumberFormat="1" applyFont="1" applyBorder="1" applyAlignment="1">
      <alignment horizontal="right" vertical="center"/>
      <protection locked="0"/>
    </xf>
    <xf numFmtId="168" fontId="22" fillId="0" borderId="0" xfId="0" applyNumberFormat="1" applyFont="1" applyAlignment="1">
      <alignment horizontal="right"/>
      <protection locked="0"/>
    </xf>
    <xf numFmtId="0" fontId="29" fillId="0" borderId="24" xfId="0" applyFont="1" applyFill="1" applyBorder="1" applyAlignment="1">
      <alignment horizontal="left" vertical="center" wrapText="1"/>
      <protection locked="0"/>
    </xf>
    <xf numFmtId="0" fontId="27" fillId="0" borderId="0" xfId="0" applyFont="1" applyFill="1" applyAlignment="1">
      <alignment horizontal="left" vertical="center" wrapText="1"/>
      <protection locked="0"/>
    </xf>
    <xf numFmtId="0" fontId="27" fillId="0" borderId="0" xfId="0" applyFont="1" applyFill="1" applyAlignment="1">
      <alignment horizontal="left" vertical="center"/>
      <protection locked="0"/>
    </xf>
    <xf numFmtId="0" fontId="0" fillId="0" borderId="21" xfId="0" applyFont="1" applyFill="1" applyBorder="1" applyAlignment="1">
      <alignment horizontal="left" vertical="center" wrapText="1"/>
      <protection locked="0"/>
    </xf>
    <xf numFmtId="0" fontId="0" fillId="0" borderId="22" xfId="0" applyFont="1" applyFill="1" applyBorder="1" applyAlignment="1">
      <alignment horizontal="left" vertical="center" wrapText="1"/>
      <protection locked="0"/>
    </xf>
    <xf numFmtId="0" fontId="0" fillId="0" borderId="23" xfId="0" applyFont="1" applyFill="1" applyBorder="1" applyAlignment="1">
      <alignment horizontal="left" vertical="center" wrapText="1"/>
      <protection locked="0"/>
    </xf>
    <xf numFmtId="0" fontId="5" fillId="2" borderId="22" xfId="0" applyFont="1" applyFill="1" applyBorder="1" applyAlignment="1">
      <alignment horizontal="center" vertical="center" wrapText="1"/>
      <protection locked="0"/>
    </xf>
    <xf numFmtId="0" fontId="0" fillId="2" borderId="22" xfId="0" applyFill="1" applyBorder="1" applyAlignment="1">
      <alignment horizontal="center" vertical="center" wrapText="1"/>
      <protection locked="0"/>
    </xf>
    <xf numFmtId="0" fontId="0" fillId="2" borderId="23" xfId="0" applyFill="1" applyBorder="1" applyAlignment="1">
      <alignment horizontal="center" vertical="center" wrapText="1"/>
      <protection locked="0"/>
    </xf>
    <xf numFmtId="168" fontId="16" fillId="0" borderId="0" xfId="0" applyNumberFormat="1" applyFont="1" applyAlignment="1">
      <alignment horizontal="right"/>
      <protection locked="0"/>
    </xf>
    <xf numFmtId="164" fontId="22" fillId="0" borderId="0" xfId="0" applyNumberFormat="1" applyFont="1" applyAlignment="1">
      <alignment horizontal="right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164" fontId="10" fillId="0" borderId="0" xfId="0" applyNumberFormat="1" applyFont="1" applyAlignment="1">
      <alignment horizontal="right" vertical="center"/>
      <protection locked="0"/>
    </xf>
    <xf numFmtId="164" fontId="9" fillId="0" borderId="0" xfId="0" applyNumberFormat="1" applyFont="1" applyAlignment="1">
      <alignment horizontal="right" vertical="center"/>
      <protection locked="0"/>
    </xf>
    <xf numFmtId="0" fontId="0" fillId="0" borderId="26" xfId="0" applyFont="1" applyFill="1" applyBorder="1" applyAlignment="1" applyProtection="1">
      <alignment horizontal="center" vertical="center"/>
      <protection locked="0"/>
    </xf>
    <xf numFmtId="49" fontId="0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6" xfId="0" applyFont="1" applyFill="1" applyBorder="1" applyAlignment="1" applyProtection="1">
      <alignment horizontal="left" vertical="center" wrapText="1"/>
      <protection locked="0"/>
    </xf>
    <xf numFmtId="0" fontId="0" fillId="0" borderId="26" xfId="0" applyFont="1" applyFill="1" applyBorder="1" applyAlignment="1" applyProtection="1">
      <alignment horizontal="center" vertical="center" wrapText="1"/>
      <protection locked="0"/>
    </xf>
    <xf numFmtId="171" fontId="0" fillId="0" borderId="26" xfId="0" applyNumberFormat="1" applyFont="1" applyFill="1" applyBorder="1" applyAlignment="1" applyProtection="1">
      <alignment vertical="center"/>
      <protection locked="0"/>
    </xf>
    <xf numFmtId="171" fontId="0" fillId="0" borderId="26" xfId="0" applyNumberFormat="1" applyFont="1" applyFill="1" applyBorder="1" applyAlignment="1" applyProtection="1">
      <alignment vertical="center"/>
      <protection locked="0"/>
    </xf>
    <xf numFmtId="0" fontId="51" fillId="0" borderId="0" xfId="0" applyFont="1" applyAlignment="1" applyProtection="1">
      <alignment vertical="center"/>
    </xf>
    <xf numFmtId="0" fontId="51" fillId="0" borderId="27" xfId="0" applyFont="1" applyBorder="1" applyAlignment="1" applyProtection="1">
      <alignment vertical="center"/>
    </xf>
    <xf numFmtId="0" fontId="51" fillId="0" borderId="0" xfId="0" applyFont="1" applyFill="1" applyBorder="1" applyAlignment="1" applyProtection="1">
      <alignment vertical="center"/>
    </xf>
    <xf numFmtId="0" fontId="51" fillId="0" borderId="0" xfId="0" applyFont="1" applyFill="1" applyBorder="1" applyAlignment="1" applyProtection="1">
      <alignment horizontal="left" vertical="center"/>
    </xf>
    <xf numFmtId="0" fontId="51" fillId="0" borderId="31" xfId="0" applyFont="1" applyFill="1" applyBorder="1" applyAlignment="1" applyProtection="1">
      <alignment horizontal="left" vertical="center" wrapText="1"/>
    </xf>
    <xf numFmtId="0" fontId="51" fillId="0" borderId="31" xfId="0" applyFont="1" applyFill="1" applyBorder="1" applyAlignment="1" applyProtection="1">
      <alignment vertical="center"/>
    </xf>
    <xf numFmtId="171" fontId="51" fillId="0" borderId="0" xfId="0" applyNumberFormat="1" applyFont="1" applyFill="1" applyBorder="1" applyAlignment="1" applyProtection="1">
      <alignment vertical="center"/>
    </xf>
    <xf numFmtId="0" fontId="51" fillId="0" borderId="28" xfId="0" applyFont="1" applyBorder="1" applyAlignment="1" applyProtection="1">
      <alignment vertical="center"/>
    </xf>
    <xf numFmtId="0" fontId="51" fillId="0" borderId="30" xfId="0" applyFont="1" applyBorder="1" applyAlignment="1" applyProtection="1">
      <alignment vertical="center"/>
    </xf>
    <xf numFmtId="0" fontId="51" fillId="0" borderId="0" xfId="0" applyFont="1" applyBorder="1" applyAlignment="1" applyProtection="1">
      <alignment vertical="center"/>
    </xf>
    <xf numFmtId="0" fontId="51" fillId="0" borderId="29" xfId="0" applyFont="1" applyBorder="1" applyAlignment="1" applyProtection="1">
      <alignment vertical="center"/>
    </xf>
    <xf numFmtId="0" fontId="51" fillId="0" borderId="0" xfId="0" applyFont="1" applyAlignment="1" applyProtection="1">
      <alignment horizontal="left" vertical="center"/>
    </xf>
    <xf numFmtId="0" fontId="51" fillId="0" borderId="0" xfId="0" applyFont="1" applyFill="1" applyBorder="1" applyAlignment="1" applyProtection="1">
      <alignment horizontal="left" vertical="center" wrapText="1"/>
    </xf>
    <xf numFmtId="0" fontId="51" fillId="0" borderId="0" xfId="0" applyFont="1" applyFill="1" applyBorder="1" applyAlignment="1" applyProtection="1">
      <alignment vertical="center"/>
    </xf>
    <xf numFmtId="0" fontId="52" fillId="0" borderId="0" xfId="0" applyFont="1" applyAlignment="1" applyProtection="1">
      <alignment vertical="center"/>
    </xf>
    <xf numFmtId="0" fontId="52" fillId="0" borderId="27" xfId="0" applyFont="1" applyBorder="1" applyAlignment="1" applyProtection="1">
      <alignment vertical="center"/>
    </xf>
    <xf numFmtId="0" fontId="52" fillId="0" borderId="0" xfId="0" applyFont="1" applyFill="1" applyBorder="1" applyAlignment="1" applyProtection="1">
      <alignment vertical="center"/>
    </xf>
    <xf numFmtId="0" fontId="52" fillId="0" borderId="0" xfId="0" applyFont="1" applyFill="1" applyBorder="1" applyAlignment="1" applyProtection="1">
      <alignment horizontal="left" vertical="center"/>
    </xf>
    <xf numFmtId="0" fontId="52" fillId="0" borderId="0" xfId="0" applyFont="1" applyFill="1" applyBorder="1" applyAlignment="1" applyProtection="1">
      <alignment horizontal="left" vertical="center" wrapText="1"/>
    </xf>
    <xf numFmtId="0" fontId="52" fillId="0" borderId="0" xfId="0" applyFont="1" applyFill="1" applyBorder="1" applyAlignment="1" applyProtection="1">
      <alignment vertical="center"/>
    </xf>
    <xf numFmtId="171" fontId="52" fillId="0" borderId="0" xfId="0" applyNumberFormat="1" applyFont="1" applyFill="1" applyBorder="1" applyAlignment="1" applyProtection="1">
      <alignment vertical="center"/>
    </xf>
    <xf numFmtId="0" fontId="52" fillId="0" borderId="28" xfId="0" applyFont="1" applyBorder="1" applyAlignment="1" applyProtection="1">
      <alignment vertical="center"/>
    </xf>
    <xf numFmtId="0" fontId="52" fillId="0" borderId="30" xfId="0" applyFont="1" applyBorder="1" applyAlignment="1" applyProtection="1">
      <alignment vertical="center"/>
    </xf>
    <xf numFmtId="0" fontId="52" fillId="0" borderId="0" xfId="0" applyFont="1" applyBorder="1" applyAlignment="1" applyProtection="1">
      <alignment vertical="center"/>
    </xf>
    <xf numFmtId="0" fontId="52" fillId="0" borderId="29" xfId="0" applyFont="1" applyBorder="1" applyAlignment="1" applyProtection="1">
      <alignment vertical="center"/>
    </xf>
    <xf numFmtId="0" fontId="52" fillId="0" borderId="0" xfId="0" applyFont="1" applyAlignment="1" applyProtection="1">
      <alignment horizontal="left" vertical="center"/>
    </xf>
    <xf numFmtId="0" fontId="49" fillId="0" borderId="26" xfId="0" applyFont="1" applyFill="1" applyBorder="1" applyAlignment="1" applyProtection="1">
      <alignment horizontal="center" vertical="center"/>
      <protection locked="0"/>
    </xf>
    <xf numFmtId="49" fontId="49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49" fillId="0" borderId="26" xfId="0" applyFont="1" applyFill="1" applyBorder="1" applyAlignment="1" applyProtection="1">
      <alignment horizontal="left" vertical="center" wrapText="1"/>
      <protection locked="0"/>
    </xf>
    <xf numFmtId="0" fontId="49" fillId="0" borderId="26" xfId="0" applyFont="1" applyFill="1" applyBorder="1" applyAlignment="1" applyProtection="1">
      <alignment horizontal="center" vertical="center" wrapText="1"/>
      <protection locked="0"/>
    </xf>
    <xf numFmtId="171" fontId="49" fillId="0" borderId="26" xfId="0" applyNumberFormat="1" applyFont="1" applyFill="1" applyBorder="1" applyAlignment="1" applyProtection="1">
      <alignment vertical="center"/>
      <protection locked="0"/>
    </xf>
    <xf numFmtId="171" fontId="49" fillId="0" borderId="26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D95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99E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152400</xdr:colOff>
      <xdr:row>1</xdr:row>
      <xdr:rowOff>0</xdr:rowOff>
    </xdr:to>
    <xdr:pic>
      <xdr:nvPicPr>
        <xdr:cNvPr id="1064" name="Obrázek 1" descr="C:\KROSplusData\System\Temp\radFD95C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685800" cy="281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152400</xdr:colOff>
      <xdr:row>1</xdr:row>
      <xdr:rowOff>0</xdr:rowOff>
    </xdr:to>
    <xdr:pic>
      <xdr:nvPicPr>
        <xdr:cNvPr id="2088" name="Obrázek 1" descr="C:\KROSplusData\System\Temp\rad099E1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685800" cy="2819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3"/>
  <sheetViews>
    <sheetView showGridLines="0" tabSelected="1" workbookViewId="0">
      <pane ySplit="1" topLeftCell="A2" activePane="bottomLeft" state="frozenSplit"/>
      <selection pane="bottomLeft" activeCell="C2" sqref="C2:AP2"/>
    </sheetView>
  </sheetViews>
  <sheetFormatPr defaultColWidth="10.6640625" defaultRowHeight="14.25" customHeight="1" x14ac:dyDescent="0.3"/>
  <cols>
    <col min="1" max="1" width="8.33203125" style="2" customWidth="1"/>
    <col min="2" max="2" width="1.6640625" style="2" customWidth="1"/>
    <col min="3" max="3" width="4.1640625" style="2" customWidth="1"/>
    <col min="4" max="33" width="2.5" style="2" customWidth="1"/>
    <col min="34" max="34" width="3.33203125" style="2" customWidth="1"/>
    <col min="35" max="37" width="2.5" style="2" customWidth="1"/>
    <col min="38" max="38" width="8.33203125" style="2" customWidth="1"/>
    <col min="39" max="39" width="3.33203125" style="2" customWidth="1"/>
    <col min="40" max="40" width="13.33203125" style="2" customWidth="1"/>
    <col min="41" max="41" width="7.5" style="2" customWidth="1"/>
    <col min="42" max="42" width="4.1640625" style="2" customWidth="1"/>
    <col min="43" max="43" width="1.6640625" style="2" customWidth="1"/>
    <col min="44" max="44" width="10.6640625" style="1" customWidth="1"/>
    <col min="45" max="46" width="25.83203125" style="2" hidden="1" customWidth="1"/>
    <col min="47" max="47" width="25" style="2" hidden="1" customWidth="1"/>
    <col min="48" max="52" width="21.6640625" style="2" hidden="1" customWidth="1"/>
    <col min="53" max="53" width="19.1640625" style="2" hidden="1" customWidth="1"/>
    <col min="54" max="54" width="25" style="2" hidden="1" customWidth="1"/>
    <col min="55" max="56" width="19.1640625" style="2" hidden="1" customWidth="1"/>
    <col min="57" max="57" width="66.5" style="2" customWidth="1"/>
    <col min="58" max="70" width="10.6640625" style="1" customWidth="1"/>
    <col min="71" max="89" width="10.6640625" style="2" hidden="1" customWidth="1"/>
    <col min="90" max="16384" width="10.6640625" style="1"/>
  </cols>
  <sheetData>
    <row r="1" spans="1:256" s="3" customFormat="1" ht="22.5" customHeight="1" x14ac:dyDescent="0.3">
      <c r="A1" s="133" t="s">
        <v>0</v>
      </c>
      <c r="B1" s="134"/>
      <c r="C1" s="134"/>
      <c r="D1" s="135" t="s">
        <v>1</v>
      </c>
      <c r="E1" s="134"/>
      <c r="F1" s="134"/>
      <c r="G1" s="134"/>
      <c r="H1" s="134"/>
      <c r="I1" s="134"/>
      <c r="J1" s="134"/>
      <c r="K1" s="136" t="s">
        <v>257</v>
      </c>
      <c r="L1" s="136"/>
      <c r="M1" s="136"/>
      <c r="N1" s="136"/>
      <c r="O1" s="136"/>
      <c r="P1" s="136"/>
      <c r="Q1" s="136"/>
      <c r="R1" s="136"/>
      <c r="S1" s="136"/>
      <c r="T1" s="134"/>
      <c r="U1" s="134"/>
      <c r="V1" s="134"/>
      <c r="W1" s="136" t="s">
        <v>258</v>
      </c>
      <c r="X1" s="136"/>
      <c r="Y1" s="136"/>
      <c r="Z1" s="136"/>
      <c r="AA1" s="136"/>
      <c r="AB1" s="136"/>
      <c r="AC1" s="136"/>
      <c r="AD1" s="136"/>
      <c r="AE1" s="136"/>
      <c r="AF1" s="136"/>
      <c r="AG1" s="134"/>
      <c r="AH1" s="134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4" t="s">
        <v>2</v>
      </c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4" t="s">
        <v>3</v>
      </c>
      <c r="BU1" s="4" t="s">
        <v>3</v>
      </c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 x14ac:dyDescent="0.3">
      <c r="C2" s="280" t="s">
        <v>4</v>
      </c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R2" s="252" t="s">
        <v>5</v>
      </c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6" t="s">
        <v>6</v>
      </c>
      <c r="BT2" s="6" t="s">
        <v>7</v>
      </c>
    </row>
    <row r="3" spans="1:256" s="2" customFormat="1" ht="7.5" customHeight="1" x14ac:dyDescent="0.3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9"/>
      <c r="BS3" s="6" t="s">
        <v>6</v>
      </c>
      <c r="BT3" s="6" t="s">
        <v>8</v>
      </c>
    </row>
    <row r="4" spans="1:256" s="2" customFormat="1" ht="37.5" customHeight="1" x14ac:dyDescent="0.3">
      <c r="B4" s="10"/>
      <c r="C4" s="264" t="s">
        <v>9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11"/>
      <c r="AS4" s="12" t="s">
        <v>10</v>
      </c>
      <c r="BS4" s="6" t="s">
        <v>6</v>
      </c>
    </row>
    <row r="5" spans="1:256" s="2" customFormat="1" ht="15" customHeight="1" x14ac:dyDescent="0.3">
      <c r="B5" s="10"/>
      <c r="D5" s="13" t="s">
        <v>11</v>
      </c>
      <c r="K5" s="274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Q5" s="11"/>
      <c r="BS5" s="6" t="s">
        <v>12</v>
      </c>
    </row>
    <row r="6" spans="1:256" s="2" customFormat="1" ht="37.5" customHeight="1" x14ac:dyDescent="0.3">
      <c r="B6" s="10"/>
      <c r="D6" s="15" t="s">
        <v>13</v>
      </c>
      <c r="K6" s="281" t="s">
        <v>378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Q6" s="11"/>
      <c r="BS6" s="6" t="s">
        <v>15</v>
      </c>
    </row>
    <row r="7" spans="1:256" s="2" customFormat="1" ht="15" customHeight="1" x14ac:dyDescent="0.3">
      <c r="B7" s="10"/>
      <c r="D7" s="16" t="s">
        <v>16</v>
      </c>
      <c r="K7" s="155" t="s">
        <v>286</v>
      </c>
      <c r="AK7" s="16" t="s">
        <v>17</v>
      </c>
      <c r="AN7" s="14"/>
      <c r="AQ7" s="11"/>
      <c r="BS7" s="6" t="s">
        <v>18</v>
      </c>
    </row>
    <row r="8" spans="1:256" s="2" customFormat="1" ht="15" customHeight="1" x14ac:dyDescent="0.3">
      <c r="B8" s="10"/>
      <c r="D8" s="16" t="s">
        <v>19</v>
      </c>
      <c r="K8" s="14" t="s">
        <v>20</v>
      </c>
      <c r="AK8" s="16" t="s">
        <v>21</v>
      </c>
      <c r="AN8" s="149">
        <v>42933</v>
      </c>
      <c r="AQ8" s="11"/>
      <c r="BS8" s="6" t="s">
        <v>22</v>
      </c>
    </row>
    <row r="9" spans="1:256" s="2" customFormat="1" ht="15" customHeight="1" x14ac:dyDescent="0.3">
      <c r="B9" s="10"/>
      <c r="AQ9" s="11"/>
      <c r="BS9" s="6" t="s">
        <v>23</v>
      </c>
    </row>
    <row r="10" spans="1:256" s="2" customFormat="1" ht="15" customHeight="1" x14ac:dyDescent="0.3">
      <c r="B10" s="10"/>
      <c r="D10" s="16" t="s">
        <v>24</v>
      </c>
      <c r="AK10" s="16" t="s">
        <v>25</v>
      </c>
      <c r="AN10" s="14"/>
      <c r="AQ10" s="11"/>
      <c r="BS10" s="6" t="s">
        <v>15</v>
      </c>
    </row>
    <row r="11" spans="1:256" s="2" customFormat="1" ht="19.5" customHeight="1" x14ac:dyDescent="0.3">
      <c r="B11" s="10"/>
      <c r="E11" s="14" t="s">
        <v>26</v>
      </c>
      <c r="AK11" s="16" t="s">
        <v>27</v>
      </c>
      <c r="AN11" s="14"/>
      <c r="AQ11" s="11"/>
      <c r="BS11" s="6" t="s">
        <v>15</v>
      </c>
    </row>
    <row r="12" spans="1:256" s="2" customFormat="1" ht="7.5" customHeight="1" x14ac:dyDescent="0.3">
      <c r="B12" s="10"/>
      <c r="AQ12" s="11"/>
      <c r="BS12" s="6" t="s">
        <v>15</v>
      </c>
    </row>
    <row r="13" spans="1:256" s="2" customFormat="1" ht="15" customHeight="1" x14ac:dyDescent="0.3">
      <c r="B13" s="10"/>
      <c r="D13" s="16" t="s">
        <v>28</v>
      </c>
      <c r="AK13" s="16" t="s">
        <v>25</v>
      </c>
      <c r="AN13" s="14"/>
      <c r="AQ13" s="11"/>
      <c r="BS13" s="6" t="s">
        <v>15</v>
      </c>
    </row>
    <row r="14" spans="1:256" s="2" customFormat="1" ht="15.75" customHeight="1" x14ac:dyDescent="0.3">
      <c r="B14" s="10"/>
      <c r="E14" s="14" t="s">
        <v>26</v>
      </c>
      <c r="AK14" s="16" t="s">
        <v>27</v>
      </c>
      <c r="AN14" s="14"/>
      <c r="AQ14" s="11"/>
      <c r="BS14" s="6" t="s">
        <v>15</v>
      </c>
    </row>
    <row r="15" spans="1:256" s="2" customFormat="1" ht="7.5" customHeight="1" x14ac:dyDescent="0.3">
      <c r="B15" s="10"/>
      <c r="AQ15" s="11"/>
      <c r="BS15" s="6" t="s">
        <v>3</v>
      </c>
    </row>
    <row r="16" spans="1:256" s="2" customFormat="1" ht="15" customHeight="1" x14ac:dyDescent="0.3">
      <c r="B16" s="10"/>
      <c r="D16" s="16" t="s">
        <v>29</v>
      </c>
      <c r="AK16" s="16" t="s">
        <v>25</v>
      </c>
      <c r="AN16" s="14"/>
      <c r="AQ16" s="11"/>
      <c r="BS16" s="6" t="s">
        <v>3</v>
      </c>
    </row>
    <row r="17" spans="2:71" s="2" customFormat="1" ht="19.5" customHeight="1" x14ac:dyDescent="0.3">
      <c r="B17" s="10"/>
      <c r="E17" s="14" t="s">
        <v>26</v>
      </c>
      <c r="AK17" s="16" t="s">
        <v>27</v>
      </c>
      <c r="AN17" s="14"/>
      <c r="AQ17" s="11"/>
      <c r="BS17" s="6" t="s">
        <v>30</v>
      </c>
    </row>
    <row r="18" spans="2:71" s="2" customFormat="1" ht="7.5" customHeight="1" x14ac:dyDescent="0.3">
      <c r="B18" s="10"/>
      <c r="AQ18" s="11"/>
      <c r="BS18" s="6" t="s">
        <v>12</v>
      </c>
    </row>
    <row r="19" spans="2:71" s="2" customFormat="1" ht="15" customHeight="1" x14ac:dyDescent="0.3">
      <c r="B19" s="10"/>
      <c r="D19" s="16" t="s">
        <v>31</v>
      </c>
      <c r="AK19" s="16" t="s">
        <v>25</v>
      </c>
      <c r="AN19" s="14"/>
      <c r="AQ19" s="11"/>
      <c r="BS19" s="6" t="s">
        <v>12</v>
      </c>
    </row>
    <row r="20" spans="2:71" s="2" customFormat="1" ht="19.5" customHeight="1" x14ac:dyDescent="0.3">
      <c r="B20" s="10"/>
      <c r="E20" s="14" t="s">
        <v>32</v>
      </c>
      <c r="AK20" s="16" t="s">
        <v>27</v>
      </c>
      <c r="AN20" s="14"/>
      <c r="AQ20" s="11"/>
    </row>
    <row r="21" spans="2:71" s="2" customFormat="1" ht="7.5" customHeight="1" x14ac:dyDescent="0.3">
      <c r="B21" s="10"/>
      <c r="AQ21" s="11"/>
    </row>
    <row r="22" spans="2:71" s="2" customFormat="1" ht="7.5" customHeight="1" x14ac:dyDescent="0.3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Q22" s="11"/>
    </row>
    <row r="23" spans="2:71" s="2" customFormat="1" ht="15" customHeight="1" x14ac:dyDescent="0.3">
      <c r="B23" s="10"/>
      <c r="D23" s="18" t="s">
        <v>33</v>
      </c>
      <c r="AK23" s="265">
        <f>ROUND($AG$87,2)</f>
        <v>0</v>
      </c>
      <c r="AL23" s="253"/>
      <c r="AM23" s="253"/>
      <c r="AN23" s="253"/>
      <c r="AO23" s="253"/>
      <c r="AQ23" s="11"/>
    </row>
    <row r="24" spans="2:71" s="2" customFormat="1" ht="15" customHeight="1" x14ac:dyDescent="0.3">
      <c r="B24" s="10"/>
      <c r="D24" s="18" t="s">
        <v>34</v>
      </c>
      <c r="AK24" s="265">
        <f>ROUND($AG$90,2)</f>
        <v>0</v>
      </c>
      <c r="AL24" s="253"/>
      <c r="AM24" s="253"/>
      <c r="AN24" s="253"/>
      <c r="AO24" s="253"/>
      <c r="AQ24" s="11"/>
    </row>
    <row r="25" spans="2:71" s="6" customFormat="1" ht="7.5" customHeight="1" x14ac:dyDescent="0.3">
      <c r="B25" s="19"/>
      <c r="AQ25" s="20"/>
    </row>
    <row r="26" spans="2:71" s="6" customFormat="1" ht="27" customHeight="1" x14ac:dyDescent="0.3">
      <c r="B26" s="19"/>
      <c r="D26" s="21" t="s">
        <v>35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62">
        <f>ROUND($AK$23+$AK$24,2)</f>
        <v>0</v>
      </c>
      <c r="AL26" s="263"/>
      <c r="AM26" s="263"/>
      <c r="AN26" s="263"/>
      <c r="AO26" s="263"/>
      <c r="AQ26" s="20"/>
    </row>
    <row r="27" spans="2:71" s="6" customFormat="1" ht="7.5" customHeight="1" x14ac:dyDescent="0.3">
      <c r="B27" s="19"/>
      <c r="AQ27" s="20"/>
    </row>
    <row r="28" spans="2:71" s="6" customFormat="1" ht="15" customHeight="1" x14ac:dyDescent="0.3">
      <c r="B28" s="23"/>
      <c r="D28" s="24" t="s">
        <v>36</v>
      </c>
      <c r="F28" s="24" t="s">
        <v>37</v>
      </c>
      <c r="L28" s="266">
        <v>0.21</v>
      </c>
      <c r="M28" s="267"/>
      <c r="N28" s="267"/>
      <c r="O28" s="267"/>
      <c r="T28" s="26" t="s">
        <v>38</v>
      </c>
      <c r="W28" s="268">
        <f>ROUND($AZ$87+SUM($CD$91:$CD$91),2)</f>
        <v>0</v>
      </c>
      <c r="X28" s="267"/>
      <c r="Y28" s="267"/>
      <c r="Z28" s="267"/>
      <c r="AA28" s="267"/>
      <c r="AB28" s="267"/>
      <c r="AC28" s="267"/>
      <c r="AD28" s="267"/>
      <c r="AE28" s="267"/>
      <c r="AK28" s="268">
        <f>ROUND($AV$87+SUM($BY$91:$BY$91),2)</f>
        <v>0</v>
      </c>
      <c r="AL28" s="267"/>
      <c r="AM28" s="267"/>
      <c r="AN28" s="267"/>
      <c r="AO28" s="267"/>
      <c r="AQ28" s="27"/>
    </row>
    <row r="29" spans="2:71" s="6" customFormat="1" ht="15" customHeight="1" x14ac:dyDescent="0.3">
      <c r="B29" s="23"/>
      <c r="F29" s="24" t="s">
        <v>39</v>
      </c>
      <c r="L29" s="266">
        <v>0.15</v>
      </c>
      <c r="M29" s="267"/>
      <c r="N29" s="267"/>
      <c r="O29" s="267"/>
      <c r="T29" s="26" t="s">
        <v>38</v>
      </c>
      <c r="W29" s="268">
        <f>ROUND($BA$87+SUM($CE$91:$CE$91),2)</f>
        <v>0</v>
      </c>
      <c r="X29" s="267"/>
      <c r="Y29" s="267"/>
      <c r="Z29" s="267"/>
      <c r="AA29" s="267"/>
      <c r="AB29" s="267"/>
      <c r="AC29" s="267"/>
      <c r="AD29" s="267"/>
      <c r="AE29" s="267"/>
      <c r="AK29" s="268">
        <f>ROUND($AW$87+SUM($BZ$91:$BZ$91),2)</f>
        <v>0</v>
      </c>
      <c r="AL29" s="267"/>
      <c r="AM29" s="267"/>
      <c r="AN29" s="267"/>
      <c r="AO29" s="267"/>
      <c r="AQ29" s="27"/>
    </row>
    <row r="30" spans="2:71" s="6" customFormat="1" ht="15" hidden="1" customHeight="1" x14ac:dyDescent="0.3">
      <c r="B30" s="23"/>
      <c r="F30" s="24" t="s">
        <v>40</v>
      </c>
      <c r="L30" s="266">
        <v>0.21</v>
      </c>
      <c r="M30" s="267"/>
      <c r="N30" s="267"/>
      <c r="O30" s="267"/>
      <c r="T30" s="26" t="s">
        <v>38</v>
      </c>
      <c r="W30" s="268" t="e">
        <f>ROUND($BB$87+SUM($CF$91:$CF$91),2)</f>
        <v>#REF!</v>
      </c>
      <c r="X30" s="267"/>
      <c r="Y30" s="267"/>
      <c r="Z30" s="267"/>
      <c r="AA30" s="267"/>
      <c r="AB30" s="267"/>
      <c r="AC30" s="267"/>
      <c r="AD30" s="267"/>
      <c r="AE30" s="267"/>
      <c r="AK30" s="268">
        <v>0</v>
      </c>
      <c r="AL30" s="267"/>
      <c r="AM30" s="267"/>
      <c r="AN30" s="267"/>
      <c r="AO30" s="267"/>
      <c r="AQ30" s="27"/>
    </row>
    <row r="31" spans="2:71" s="6" customFormat="1" ht="15" hidden="1" customHeight="1" x14ac:dyDescent="0.3">
      <c r="B31" s="23"/>
      <c r="F31" s="24" t="s">
        <v>41</v>
      </c>
      <c r="L31" s="266">
        <v>0.15</v>
      </c>
      <c r="M31" s="267"/>
      <c r="N31" s="267"/>
      <c r="O31" s="267"/>
      <c r="T31" s="26" t="s">
        <v>38</v>
      </c>
      <c r="W31" s="268" t="e">
        <f>ROUND($BC$87+SUM($CG$91:$CG$91),2)</f>
        <v>#REF!</v>
      </c>
      <c r="X31" s="267"/>
      <c r="Y31" s="267"/>
      <c r="Z31" s="267"/>
      <c r="AA31" s="267"/>
      <c r="AB31" s="267"/>
      <c r="AC31" s="267"/>
      <c r="AD31" s="267"/>
      <c r="AE31" s="267"/>
      <c r="AK31" s="268">
        <v>0</v>
      </c>
      <c r="AL31" s="267"/>
      <c r="AM31" s="267"/>
      <c r="AN31" s="267"/>
      <c r="AO31" s="267"/>
      <c r="AQ31" s="27"/>
    </row>
    <row r="32" spans="2:71" s="6" customFormat="1" ht="15" hidden="1" customHeight="1" x14ac:dyDescent="0.3">
      <c r="B32" s="23"/>
      <c r="F32" s="24" t="s">
        <v>42</v>
      </c>
      <c r="L32" s="266">
        <v>0</v>
      </c>
      <c r="M32" s="267"/>
      <c r="N32" s="267"/>
      <c r="O32" s="267"/>
      <c r="T32" s="26" t="s">
        <v>38</v>
      </c>
      <c r="W32" s="268" t="e">
        <f>ROUND($BD$87+SUM($CH$91:$CH$91),2)</f>
        <v>#REF!</v>
      </c>
      <c r="X32" s="267"/>
      <c r="Y32" s="267"/>
      <c r="Z32" s="267"/>
      <c r="AA32" s="267"/>
      <c r="AB32" s="267"/>
      <c r="AC32" s="267"/>
      <c r="AD32" s="267"/>
      <c r="AE32" s="267"/>
      <c r="AK32" s="268">
        <v>0</v>
      </c>
      <c r="AL32" s="267"/>
      <c r="AM32" s="267"/>
      <c r="AN32" s="267"/>
      <c r="AO32" s="267"/>
      <c r="AQ32" s="27"/>
    </row>
    <row r="33" spans="2:43" s="6" customFormat="1" ht="7.5" customHeight="1" x14ac:dyDescent="0.3">
      <c r="B33" s="19"/>
      <c r="AQ33" s="20"/>
    </row>
    <row r="34" spans="2:43" s="6" customFormat="1" ht="27" customHeight="1" x14ac:dyDescent="0.3">
      <c r="B34" s="19"/>
      <c r="C34" s="28"/>
      <c r="D34" s="29" t="s">
        <v>43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1" t="s">
        <v>44</v>
      </c>
      <c r="U34" s="30"/>
      <c r="V34" s="30"/>
      <c r="W34" s="30"/>
      <c r="X34" s="278" t="s">
        <v>45</v>
      </c>
      <c r="Y34" s="260"/>
      <c r="Z34" s="260"/>
      <c r="AA34" s="260"/>
      <c r="AB34" s="260"/>
      <c r="AC34" s="30"/>
      <c r="AD34" s="30"/>
      <c r="AE34" s="30"/>
      <c r="AF34" s="30"/>
      <c r="AG34" s="30"/>
      <c r="AH34" s="30"/>
      <c r="AI34" s="30"/>
      <c r="AJ34" s="30"/>
      <c r="AK34" s="279">
        <f>ROUND(SUM($AK$26:$AK$32),2)</f>
        <v>0</v>
      </c>
      <c r="AL34" s="260"/>
      <c r="AM34" s="260"/>
      <c r="AN34" s="260"/>
      <c r="AO34" s="261"/>
      <c r="AP34" s="28"/>
      <c r="AQ34" s="20"/>
    </row>
    <row r="35" spans="2:43" s="6" customFormat="1" ht="15" customHeight="1" x14ac:dyDescent="0.3">
      <c r="B35" s="19"/>
      <c r="AQ35" s="20"/>
    </row>
    <row r="36" spans="2:43" s="2" customFormat="1" ht="14.25" customHeight="1" x14ac:dyDescent="0.3">
      <c r="B36" s="10"/>
      <c r="AQ36" s="11"/>
    </row>
    <row r="37" spans="2:43" s="2" customFormat="1" ht="14.25" customHeight="1" x14ac:dyDescent="0.3">
      <c r="B37" s="10"/>
      <c r="AQ37" s="11"/>
    </row>
    <row r="38" spans="2:43" s="2" customFormat="1" ht="14.25" customHeight="1" x14ac:dyDescent="0.3">
      <c r="B38" s="10"/>
      <c r="AQ38" s="11"/>
    </row>
    <row r="39" spans="2:43" s="2" customFormat="1" ht="14.25" customHeight="1" x14ac:dyDescent="0.3">
      <c r="B39" s="10"/>
      <c r="AQ39" s="11"/>
    </row>
    <row r="40" spans="2:43" s="2" customFormat="1" ht="14.25" customHeight="1" x14ac:dyDescent="0.3">
      <c r="B40" s="10"/>
      <c r="AQ40" s="11"/>
    </row>
    <row r="41" spans="2:43" s="2" customFormat="1" ht="14.25" customHeight="1" x14ac:dyDescent="0.3">
      <c r="B41" s="10"/>
      <c r="AQ41" s="11"/>
    </row>
    <row r="42" spans="2:43" s="2" customFormat="1" ht="14.25" customHeight="1" x14ac:dyDescent="0.3">
      <c r="B42" s="10"/>
      <c r="AQ42" s="11"/>
    </row>
    <row r="43" spans="2:43" s="2" customFormat="1" ht="14.25" customHeight="1" x14ac:dyDescent="0.3">
      <c r="B43" s="10"/>
      <c r="AQ43" s="11"/>
    </row>
    <row r="44" spans="2:43" s="2" customFormat="1" ht="14.25" customHeight="1" x14ac:dyDescent="0.3">
      <c r="B44" s="10"/>
      <c r="AQ44" s="11"/>
    </row>
    <row r="45" spans="2:43" s="2" customFormat="1" ht="14.25" customHeight="1" x14ac:dyDescent="0.3">
      <c r="B45" s="10"/>
      <c r="AQ45" s="11"/>
    </row>
    <row r="46" spans="2:43" s="2" customFormat="1" ht="14.25" customHeight="1" x14ac:dyDescent="0.3">
      <c r="B46" s="10"/>
      <c r="AQ46" s="11"/>
    </row>
    <row r="47" spans="2:43" s="2" customFormat="1" ht="14.25" customHeight="1" x14ac:dyDescent="0.3">
      <c r="B47" s="10"/>
      <c r="AQ47" s="11"/>
    </row>
    <row r="48" spans="2:43" s="2" customFormat="1" ht="14.25" customHeight="1" x14ac:dyDescent="0.3">
      <c r="B48" s="10"/>
      <c r="AQ48" s="11"/>
    </row>
    <row r="49" spans="2:43" s="6" customFormat="1" ht="15.75" customHeight="1" x14ac:dyDescent="0.3">
      <c r="B49" s="19"/>
      <c r="D49" s="32" t="s">
        <v>46</v>
      </c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4"/>
      <c r="AC49" s="32" t="s">
        <v>47</v>
      </c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4"/>
      <c r="AQ49" s="20"/>
    </row>
    <row r="50" spans="2:43" s="2" customFormat="1" ht="14.25" customHeight="1" x14ac:dyDescent="0.3">
      <c r="B50" s="10"/>
      <c r="D50" s="35"/>
      <c r="Z50" s="36"/>
      <c r="AC50" s="35"/>
      <c r="AO50" s="36"/>
      <c r="AQ50" s="11"/>
    </row>
    <row r="51" spans="2:43" s="2" customFormat="1" ht="14.25" customHeight="1" x14ac:dyDescent="0.3">
      <c r="B51" s="10"/>
      <c r="D51" s="35"/>
      <c r="Z51" s="36"/>
      <c r="AC51" s="35"/>
      <c r="AO51" s="36"/>
      <c r="AQ51" s="11"/>
    </row>
    <row r="52" spans="2:43" s="2" customFormat="1" ht="14.25" customHeight="1" x14ac:dyDescent="0.3">
      <c r="B52" s="10"/>
      <c r="D52" s="35"/>
      <c r="Z52" s="36"/>
      <c r="AC52" s="35"/>
      <c r="AO52" s="36"/>
      <c r="AQ52" s="11"/>
    </row>
    <row r="53" spans="2:43" s="2" customFormat="1" ht="14.25" customHeight="1" x14ac:dyDescent="0.3">
      <c r="B53" s="10"/>
      <c r="D53" s="35"/>
      <c r="Z53" s="36"/>
      <c r="AC53" s="35"/>
      <c r="AO53" s="36"/>
      <c r="AQ53" s="11"/>
    </row>
    <row r="54" spans="2:43" s="2" customFormat="1" ht="14.25" customHeight="1" x14ac:dyDescent="0.3">
      <c r="B54" s="10"/>
      <c r="D54" s="35"/>
      <c r="Z54" s="36"/>
      <c r="AC54" s="35"/>
      <c r="AO54" s="36"/>
      <c r="AQ54" s="11"/>
    </row>
    <row r="55" spans="2:43" s="2" customFormat="1" ht="14.25" customHeight="1" x14ac:dyDescent="0.3">
      <c r="B55" s="10"/>
      <c r="D55" s="35"/>
      <c r="Z55" s="36"/>
      <c r="AC55" s="35"/>
      <c r="AO55" s="36"/>
      <c r="AQ55" s="11"/>
    </row>
    <row r="56" spans="2:43" s="2" customFormat="1" ht="14.25" customHeight="1" x14ac:dyDescent="0.3">
      <c r="B56" s="10"/>
      <c r="D56" s="35"/>
      <c r="Z56" s="36"/>
      <c r="AC56" s="35"/>
      <c r="AO56" s="36"/>
      <c r="AQ56" s="11"/>
    </row>
    <row r="57" spans="2:43" s="2" customFormat="1" ht="14.25" customHeight="1" x14ac:dyDescent="0.3">
      <c r="B57" s="10"/>
      <c r="D57" s="35"/>
      <c r="Z57" s="36"/>
      <c r="AC57" s="35"/>
      <c r="AO57" s="36"/>
      <c r="AQ57" s="11"/>
    </row>
    <row r="58" spans="2:43" s="6" customFormat="1" ht="15.75" customHeight="1" x14ac:dyDescent="0.3">
      <c r="B58" s="19"/>
      <c r="D58" s="37" t="s">
        <v>48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9" t="s">
        <v>49</v>
      </c>
      <c r="S58" s="38"/>
      <c r="T58" s="38"/>
      <c r="U58" s="38"/>
      <c r="V58" s="38"/>
      <c r="W58" s="38"/>
      <c r="X58" s="38"/>
      <c r="Y58" s="38"/>
      <c r="Z58" s="40"/>
      <c r="AC58" s="37" t="s">
        <v>48</v>
      </c>
      <c r="AD58" s="38"/>
      <c r="AE58" s="38"/>
      <c r="AF58" s="38"/>
      <c r="AG58" s="38"/>
      <c r="AH58" s="38"/>
      <c r="AI58" s="38"/>
      <c r="AJ58" s="38"/>
      <c r="AK58" s="38"/>
      <c r="AL58" s="38"/>
      <c r="AM58" s="39" t="s">
        <v>49</v>
      </c>
      <c r="AN58" s="38"/>
      <c r="AO58" s="40"/>
      <c r="AQ58" s="20"/>
    </row>
    <row r="59" spans="2:43" s="2" customFormat="1" ht="14.25" customHeight="1" x14ac:dyDescent="0.3">
      <c r="B59" s="10"/>
      <c r="AQ59" s="11"/>
    </row>
    <row r="60" spans="2:43" s="6" customFormat="1" ht="15.75" customHeight="1" x14ac:dyDescent="0.3">
      <c r="B60" s="19"/>
      <c r="D60" s="3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4"/>
      <c r="AC60" s="32" t="s">
        <v>51</v>
      </c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4"/>
      <c r="AQ60" s="20"/>
    </row>
    <row r="61" spans="2:43" s="2" customFormat="1" ht="14.25" customHeight="1" x14ac:dyDescent="0.3">
      <c r="B61" s="10"/>
      <c r="D61" s="35"/>
      <c r="Z61" s="36"/>
      <c r="AC61" s="35"/>
      <c r="AO61" s="36"/>
      <c r="AQ61" s="11"/>
    </row>
    <row r="62" spans="2:43" s="2" customFormat="1" ht="14.25" customHeight="1" x14ac:dyDescent="0.3">
      <c r="B62" s="10"/>
      <c r="D62" s="35"/>
      <c r="Z62" s="36"/>
      <c r="AC62" s="35"/>
      <c r="AO62" s="36"/>
      <c r="AQ62" s="11"/>
    </row>
    <row r="63" spans="2:43" s="2" customFormat="1" ht="14.25" customHeight="1" x14ac:dyDescent="0.3">
      <c r="B63" s="10"/>
      <c r="D63" s="35"/>
      <c r="Z63" s="36"/>
      <c r="AC63" s="35"/>
      <c r="AO63" s="36"/>
      <c r="AQ63" s="11"/>
    </row>
    <row r="64" spans="2:43" s="2" customFormat="1" ht="14.25" customHeight="1" x14ac:dyDescent="0.3">
      <c r="B64" s="10"/>
      <c r="D64" s="35"/>
      <c r="Z64" s="36"/>
      <c r="AC64" s="35"/>
      <c r="AO64" s="36"/>
      <c r="AQ64" s="11"/>
    </row>
    <row r="65" spans="2:43" s="2" customFormat="1" ht="14.25" customHeight="1" x14ac:dyDescent="0.3">
      <c r="B65" s="10"/>
      <c r="D65" s="35"/>
      <c r="Z65" s="36"/>
      <c r="AC65" s="35"/>
      <c r="AO65" s="36"/>
      <c r="AQ65" s="11"/>
    </row>
    <row r="66" spans="2:43" s="2" customFormat="1" ht="14.25" customHeight="1" x14ac:dyDescent="0.3">
      <c r="B66" s="10"/>
      <c r="D66" s="35"/>
      <c r="Z66" s="36"/>
      <c r="AC66" s="35"/>
      <c r="AO66" s="36"/>
      <c r="AQ66" s="11"/>
    </row>
    <row r="67" spans="2:43" s="2" customFormat="1" ht="14.25" customHeight="1" x14ac:dyDescent="0.3">
      <c r="B67" s="10"/>
      <c r="D67" s="35"/>
      <c r="Z67" s="36"/>
      <c r="AC67" s="35"/>
      <c r="AO67" s="36"/>
      <c r="AQ67" s="11"/>
    </row>
    <row r="68" spans="2:43" s="2" customFormat="1" ht="14.25" customHeight="1" x14ac:dyDescent="0.3">
      <c r="B68" s="10"/>
      <c r="D68" s="35"/>
      <c r="Z68" s="36"/>
      <c r="AC68" s="35"/>
      <c r="AO68" s="36"/>
      <c r="AQ68" s="11"/>
    </row>
    <row r="69" spans="2:43" s="6" customFormat="1" ht="15.75" customHeight="1" x14ac:dyDescent="0.3">
      <c r="B69" s="19"/>
      <c r="D69" s="37" t="s">
        <v>48</v>
      </c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9" t="s">
        <v>49</v>
      </c>
      <c r="S69" s="38"/>
      <c r="T69" s="38"/>
      <c r="U69" s="38"/>
      <c r="V69" s="38"/>
      <c r="W69" s="38"/>
      <c r="X69" s="38"/>
      <c r="Y69" s="38"/>
      <c r="Z69" s="40"/>
      <c r="AC69" s="37" t="s">
        <v>48</v>
      </c>
      <c r="AD69" s="38"/>
      <c r="AE69" s="38"/>
      <c r="AF69" s="38"/>
      <c r="AG69" s="38"/>
      <c r="AH69" s="38"/>
      <c r="AI69" s="38"/>
      <c r="AJ69" s="38"/>
      <c r="AK69" s="38"/>
      <c r="AL69" s="38"/>
      <c r="AM69" s="39" t="s">
        <v>49</v>
      </c>
      <c r="AN69" s="38"/>
      <c r="AO69" s="40"/>
      <c r="AQ69" s="20"/>
    </row>
    <row r="70" spans="2:43" s="6" customFormat="1" ht="7.5" customHeight="1" x14ac:dyDescent="0.3">
      <c r="B70" s="19"/>
      <c r="AQ70" s="20"/>
    </row>
    <row r="71" spans="2:43" s="6" customFormat="1" ht="7.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3"/>
    </row>
    <row r="75" spans="2:43" s="6" customFormat="1" ht="7.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6"/>
    </row>
    <row r="76" spans="2:43" s="6" customFormat="1" ht="37.5" customHeight="1" x14ac:dyDescent="0.3">
      <c r="B76" s="19"/>
      <c r="C76" s="264" t="s">
        <v>52</v>
      </c>
      <c r="D76" s="249"/>
      <c r="E76" s="249"/>
      <c r="F76" s="249"/>
      <c r="G76" s="249"/>
      <c r="H76" s="249"/>
      <c r="I76" s="249"/>
      <c r="J76" s="249"/>
      <c r="K76" s="249"/>
      <c r="L76" s="249"/>
      <c r="M76" s="249"/>
      <c r="N76" s="249"/>
      <c r="O76" s="249"/>
      <c r="P76" s="249"/>
      <c r="Q76" s="249"/>
      <c r="R76" s="249"/>
      <c r="S76" s="249"/>
      <c r="T76" s="249"/>
      <c r="U76" s="249"/>
      <c r="V76" s="249"/>
      <c r="W76" s="249"/>
      <c r="X76" s="249"/>
      <c r="Y76" s="249"/>
      <c r="Z76" s="249"/>
      <c r="AA76" s="249"/>
      <c r="AB76" s="249"/>
      <c r="AC76" s="249"/>
      <c r="AD76" s="249"/>
      <c r="AE76" s="249"/>
      <c r="AF76" s="249"/>
      <c r="AG76" s="249"/>
      <c r="AH76" s="249"/>
      <c r="AI76" s="249"/>
      <c r="AJ76" s="249"/>
      <c r="AK76" s="249"/>
      <c r="AL76" s="249"/>
      <c r="AM76" s="249"/>
      <c r="AN76" s="249"/>
      <c r="AO76" s="249"/>
      <c r="AP76" s="249"/>
      <c r="AQ76" s="20"/>
    </row>
    <row r="77" spans="2:43" s="14" customFormat="1" ht="15" customHeight="1" x14ac:dyDescent="0.3">
      <c r="B77" s="47"/>
      <c r="C77" s="16" t="s">
        <v>11</v>
      </c>
      <c r="L77" s="14">
        <f>$K$5</f>
        <v>0</v>
      </c>
      <c r="AQ77" s="48"/>
    </row>
    <row r="78" spans="2:43" s="49" customFormat="1" ht="37.5" customHeight="1" x14ac:dyDescent="0.3">
      <c r="B78" s="50"/>
      <c r="C78" s="49" t="s">
        <v>13</v>
      </c>
      <c r="L78" s="273" t="str">
        <f>$K$6</f>
        <v>Rekonstrukce ulice Na Náměti, Kutná Hora</v>
      </c>
      <c r="M78" s="249"/>
      <c r="N78" s="249"/>
      <c r="O78" s="249"/>
      <c r="P78" s="249"/>
      <c r="Q78" s="249"/>
      <c r="R78" s="249"/>
      <c r="S78" s="249"/>
      <c r="T78" s="249"/>
      <c r="U78" s="249"/>
      <c r="V78" s="249"/>
      <c r="W78" s="249"/>
      <c r="X78" s="249"/>
      <c r="Y78" s="249"/>
      <c r="Z78" s="249"/>
      <c r="AA78" s="249"/>
      <c r="AB78" s="249"/>
      <c r="AC78" s="249"/>
      <c r="AD78" s="249"/>
      <c r="AE78" s="249"/>
      <c r="AF78" s="249"/>
      <c r="AG78" s="249"/>
      <c r="AH78" s="249"/>
      <c r="AI78" s="249"/>
      <c r="AJ78" s="249"/>
      <c r="AK78" s="249"/>
      <c r="AL78" s="249"/>
      <c r="AM78" s="249"/>
      <c r="AN78" s="249"/>
      <c r="AO78" s="249"/>
      <c r="AQ78" s="51"/>
    </row>
    <row r="79" spans="2:43" s="6" customFormat="1" ht="7.5" customHeight="1" x14ac:dyDescent="0.3">
      <c r="B79" s="19"/>
      <c r="AQ79" s="20"/>
    </row>
    <row r="80" spans="2:43" s="6" customFormat="1" ht="15.75" customHeight="1" x14ac:dyDescent="0.3">
      <c r="B80" s="19"/>
      <c r="C80" s="16" t="s">
        <v>19</v>
      </c>
      <c r="L80" s="52" t="str">
        <f>IF($K$8="","",$K$8)</f>
        <v>Kutná Hora</v>
      </c>
      <c r="AI80" s="16" t="s">
        <v>21</v>
      </c>
      <c r="AM80" s="276">
        <f>IF($AN$8="","",$AN$8)</f>
        <v>42933</v>
      </c>
      <c r="AN80" s="277"/>
      <c r="AQ80" s="20"/>
    </row>
    <row r="81" spans="1:76" s="6" customFormat="1" ht="7.5" customHeight="1" x14ac:dyDescent="0.3">
      <c r="B81" s="19"/>
      <c r="AQ81" s="20"/>
    </row>
    <row r="82" spans="1:76" s="6" customFormat="1" ht="18.75" customHeight="1" x14ac:dyDescent="0.3">
      <c r="B82" s="19"/>
      <c r="C82" s="16" t="s">
        <v>24</v>
      </c>
      <c r="L82" s="14" t="str">
        <f>IF($E$11="","",$E$11)</f>
        <v xml:space="preserve"> </v>
      </c>
      <c r="AI82" s="16" t="s">
        <v>29</v>
      </c>
      <c r="AM82" s="274" t="str">
        <f>IF($E$17="","",$E$17)</f>
        <v xml:space="preserve"> </v>
      </c>
      <c r="AN82" s="249"/>
      <c r="AO82" s="249"/>
      <c r="AP82" s="249"/>
      <c r="AQ82" s="20"/>
      <c r="AS82" s="256" t="s">
        <v>53</v>
      </c>
      <c r="AT82" s="257"/>
      <c r="AU82" s="33"/>
      <c r="AV82" s="33"/>
      <c r="AW82" s="33"/>
      <c r="AX82" s="33"/>
      <c r="AY82" s="33"/>
      <c r="AZ82" s="33"/>
      <c r="BA82" s="33"/>
      <c r="BB82" s="33"/>
      <c r="BC82" s="33"/>
      <c r="BD82" s="34"/>
    </row>
    <row r="83" spans="1:76" s="6" customFormat="1" ht="15.75" customHeight="1" x14ac:dyDescent="0.3">
      <c r="B83" s="19"/>
      <c r="C83" s="16" t="s">
        <v>28</v>
      </c>
      <c r="L83" s="14" t="str">
        <f>IF($E$14="","",$E$14)</f>
        <v xml:space="preserve"> </v>
      </c>
      <c r="AI83" s="16" t="s">
        <v>31</v>
      </c>
      <c r="AM83" s="274" t="str">
        <f>IF($E$20="","",$E$20)</f>
        <v>PROAGRO Pardubice s.r.o.</v>
      </c>
      <c r="AN83" s="249"/>
      <c r="AO83" s="249"/>
      <c r="AP83" s="249"/>
      <c r="AQ83" s="20"/>
      <c r="AS83" s="258"/>
      <c r="AT83" s="249"/>
      <c r="BD83" s="53"/>
    </row>
    <row r="84" spans="1:76" s="6" customFormat="1" ht="12" customHeight="1" x14ac:dyDescent="0.3">
      <c r="B84" s="19"/>
      <c r="AQ84" s="20"/>
      <c r="AS84" s="258"/>
      <c r="AT84" s="249"/>
      <c r="BD84" s="53"/>
    </row>
    <row r="85" spans="1:76" s="6" customFormat="1" ht="30" customHeight="1" x14ac:dyDescent="0.3">
      <c r="B85" s="19"/>
      <c r="C85" s="275" t="s">
        <v>54</v>
      </c>
      <c r="D85" s="260"/>
      <c r="E85" s="260"/>
      <c r="F85" s="260"/>
      <c r="G85" s="260"/>
      <c r="H85" s="30"/>
      <c r="I85" s="259" t="s">
        <v>55</v>
      </c>
      <c r="J85" s="260"/>
      <c r="K85" s="260"/>
      <c r="L85" s="260"/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59" t="s">
        <v>56</v>
      </c>
      <c r="AH85" s="260"/>
      <c r="AI85" s="260"/>
      <c r="AJ85" s="260"/>
      <c r="AK85" s="260"/>
      <c r="AL85" s="260"/>
      <c r="AM85" s="260"/>
      <c r="AN85" s="259" t="s">
        <v>57</v>
      </c>
      <c r="AO85" s="260"/>
      <c r="AP85" s="261"/>
      <c r="AQ85" s="20"/>
      <c r="AS85" s="54" t="s">
        <v>58</v>
      </c>
      <c r="AT85" s="55" t="s">
        <v>59</v>
      </c>
      <c r="AU85" s="55" t="s">
        <v>60</v>
      </c>
      <c r="AV85" s="55" t="s">
        <v>61</v>
      </c>
      <c r="AW85" s="55" t="s">
        <v>62</v>
      </c>
      <c r="AX85" s="55" t="s">
        <v>63</v>
      </c>
      <c r="AY85" s="55" t="s">
        <v>64</v>
      </c>
      <c r="AZ85" s="55" t="s">
        <v>65</v>
      </c>
      <c r="BA85" s="55" t="s">
        <v>66</v>
      </c>
      <c r="BB85" s="55" t="s">
        <v>67</v>
      </c>
      <c r="BC85" s="55" t="s">
        <v>68</v>
      </c>
      <c r="BD85" s="56" t="s">
        <v>69</v>
      </c>
      <c r="BE85" s="57"/>
    </row>
    <row r="86" spans="1:76" s="6" customFormat="1" ht="12" customHeight="1" x14ac:dyDescent="0.3">
      <c r="B86" s="19"/>
      <c r="AQ86" s="20"/>
      <c r="AS86" s="58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4"/>
    </row>
    <row r="87" spans="1:76" s="49" customFormat="1" ht="33" customHeight="1" x14ac:dyDescent="0.3">
      <c r="B87" s="50"/>
      <c r="C87" s="59" t="s">
        <v>70</v>
      </c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248">
        <f>ROUND($AG$88,2)</f>
        <v>0</v>
      </c>
      <c r="AH87" s="272"/>
      <c r="AI87" s="272"/>
      <c r="AJ87" s="272"/>
      <c r="AK87" s="272"/>
      <c r="AL87" s="272"/>
      <c r="AM87" s="272"/>
      <c r="AN87" s="248">
        <f>ROUND(SUM($AG$87,$AT$87),2)</f>
        <v>0</v>
      </c>
      <c r="AO87" s="272"/>
      <c r="AP87" s="272"/>
      <c r="AQ87" s="51"/>
      <c r="AS87" s="60">
        <f>ROUND($AS$88,2)</f>
        <v>0</v>
      </c>
      <c r="AT87" s="61">
        <f>ROUND(SUM($AV$87:$AW$87),2)</f>
        <v>0</v>
      </c>
      <c r="AU87" s="62" t="e">
        <f>ROUND($AU$88,5)</f>
        <v>#REF!</v>
      </c>
      <c r="AV87" s="61">
        <f>ROUND($AZ$87*$L$28,2)</f>
        <v>0</v>
      </c>
      <c r="AW87" s="61">
        <f>ROUND($BA$87*$L$29,2)</f>
        <v>0</v>
      </c>
      <c r="AX87" s="61" t="e">
        <f>ROUND($BB$87*$L$28,2)</f>
        <v>#REF!</v>
      </c>
      <c r="AY87" s="61" t="e">
        <f>ROUND($BC$87*$L$29,2)</f>
        <v>#REF!</v>
      </c>
      <c r="AZ87" s="61">
        <f>ROUND($AZ$88,2)</f>
        <v>0</v>
      </c>
      <c r="BA87" s="61">
        <f>ROUND($BA$88,2)</f>
        <v>0</v>
      </c>
      <c r="BB87" s="61" t="e">
        <f>ROUND($BB$88,2)</f>
        <v>#REF!</v>
      </c>
      <c r="BC87" s="61" t="e">
        <f>ROUND($BC$88,2)</f>
        <v>#REF!</v>
      </c>
      <c r="BD87" s="63" t="e">
        <f>ROUND($BD$88,2)</f>
        <v>#REF!</v>
      </c>
      <c r="BS87" s="49" t="s">
        <v>71</v>
      </c>
      <c r="BT87" s="49" t="s">
        <v>72</v>
      </c>
      <c r="BV87" s="49" t="s">
        <v>73</v>
      </c>
      <c r="BW87" s="49" t="s">
        <v>74</v>
      </c>
      <c r="BX87" s="49" t="s">
        <v>75</v>
      </c>
    </row>
    <row r="88" spans="1:76" s="64" customFormat="1" ht="28.5" customHeight="1" x14ac:dyDescent="0.3">
      <c r="A88" s="132" t="s">
        <v>259</v>
      </c>
      <c r="B88" s="65"/>
      <c r="C88" s="66"/>
      <c r="D88" s="269" t="s">
        <v>287</v>
      </c>
      <c r="E88" s="270"/>
      <c r="F88" s="270"/>
      <c r="G88" s="270"/>
      <c r="H88" s="270"/>
      <c r="I88" s="66"/>
      <c r="J88" s="271" t="s">
        <v>14</v>
      </c>
      <c r="K88" s="270"/>
      <c r="L88" s="270"/>
      <c r="M88" s="270"/>
      <c r="N88" s="270"/>
      <c r="O88" s="270"/>
      <c r="P88" s="270"/>
      <c r="Q88" s="270"/>
      <c r="R88" s="270"/>
      <c r="S88" s="270"/>
      <c r="T88" s="270"/>
      <c r="U88" s="270"/>
      <c r="V88" s="270"/>
      <c r="W88" s="270"/>
      <c r="X88" s="270"/>
      <c r="Y88" s="270"/>
      <c r="Z88" s="270"/>
      <c r="AA88" s="270"/>
      <c r="AB88" s="270"/>
      <c r="AC88" s="270"/>
      <c r="AD88" s="270"/>
      <c r="AE88" s="270"/>
      <c r="AF88" s="270"/>
      <c r="AG88" s="254">
        <f>'Na Náměti'!$M$26</f>
        <v>0</v>
      </c>
      <c r="AH88" s="255"/>
      <c r="AI88" s="255"/>
      <c r="AJ88" s="255"/>
      <c r="AK88" s="255"/>
      <c r="AL88" s="255"/>
      <c r="AM88" s="255"/>
      <c r="AN88" s="254">
        <f>ROUND(SUM($AG$88,$AT$88),2)</f>
        <v>0</v>
      </c>
      <c r="AO88" s="255"/>
      <c r="AP88" s="255"/>
      <c r="AQ88" s="67"/>
      <c r="AS88" s="68">
        <f>'Na Náměti'!$M$24</f>
        <v>0</v>
      </c>
      <c r="AT88" s="69">
        <f>ROUND(SUM($AV$88:$AW$88),2)</f>
        <v>0</v>
      </c>
      <c r="AU88" s="70" t="e">
        <f>'Na Náměti'!$W$130</f>
        <v>#REF!</v>
      </c>
      <c r="AV88" s="69">
        <f>'Na Náměti'!$M$28</f>
        <v>0</v>
      </c>
      <c r="AW88" s="69">
        <f>'Na Náměti'!$M$29</f>
        <v>0</v>
      </c>
      <c r="AX88" s="69">
        <f>'Na Náměti'!$M$30</f>
        <v>0</v>
      </c>
      <c r="AY88" s="69">
        <f>'Na Náměti'!$M$31</f>
        <v>0</v>
      </c>
      <c r="AZ88" s="69">
        <f>'Na Náměti'!$H$28</f>
        <v>0</v>
      </c>
      <c r="BA88" s="69">
        <f>'Na Náměti'!$H$29</f>
        <v>0</v>
      </c>
      <c r="BB88" s="69" t="e">
        <f>'Na Náměti'!$H$30</f>
        <v>#REF!</v>
      </c>
      <c r="BC88" s="69" t="e">
        <f>'Na Náměti'!$H$31</f>
        <v>#REF!</v>
      </c>
      <c r="BD88" s="71" t="e">
        <f>'Na Náměti'!$H$32</f>
        <v>#REF!</v>
      </c>
      <c r="BT88" s="64" t="s">
        <v>18</v>
      </c>
      <c r="BU88" s="64" t="s">
        <v>76</v>
      </c>
      <c r="BV88" s="64" t="s">
        <v>73</v>
      </c>
      <c r="BW88" s="64" t="s">
        <v>74</v>
      </c>
      <c r="BX88" s="64" t="s">
        <v>75</v>
      </c>
    </row>
    <row r="89" spans="1:76" s="2" customFormat="1" ht="14.25" customHeight="1" x14ac:dyDescent="0.3">
      <c r="B89" s="10"/>
      <c r="AQ89" s="11"/>
    </row>
    <row r="90" spans="1:76" s="6" customFormat="1" ht="30.75" customHeight="1" x14ac:dyDescent="0.3">
      <c r="B90" s="19"/>
      <c r="C90" s="59" t="s">
        <v>77</v>
      </c>
      <c r="AG90" s="248">
        <v>0</v>
      </c>
      <c r="AH90" s="249"/>
      <c r="AI90" s="249"/>
      <c r="AJ90" s="249"/>
      <c r="AK90" s="249"/>
      <c r="AL90" s="249"/>
      <c r="AM90" s="249"/>
      <c r="AN90" s="248">
        <v>0</v>
      </c>
      <c r="AO90" s="249"/>
      <c r="AP90" s="249"/>
      <c r="AQ90" s="20"/>
      <c r="AS90" s="54" t="s">
        <v>78</v>
      </c>
      <c r="AT90" s="55" t="s">
        <v>79</v>
      </c>
      <c r="AU90" s="55" t="s">
        <v>36</v>
      </c>
      <c r="AV90" s="56" t="s">
        <v>59</v>
      </c>
      <c r="AW90" s="57"/>
    </row>
    <row r="91" spans="1:76" s="6" customFormat="1" ht="12" customHeight="1" x14ac:dyDescent="0.3">
      <c r="B91" s="19"/>
      <c r="AQ91" s="20"/>
      <c r="AS91" s="33"/>
      <c r="AT91" s="33"/>
      <c r="AU91" s="33"/>
      <c r="AV91" s="33"/>
    </row>
    <row r="92" spans="1:76" s="6" customFormat="1" ht="30.75" customHeight="1" x14ac:dyDescent="0.3">
      <c r="B92" s="19"/>
      <c r="C92" s="72" t="s">
        <v>80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50">
        <f>ROUND($AG$87+$AG$90,2)</f>
        <v>0</v>
      </c>
      <c r="AH92" s="251"/>
      <c r="AI92" s="251"/>
      <c r="AJ92" s="251"/>
      <c r="AK92" s="251"/>
      <c r="AL92" s="251"/>
      <c r="AM92" s="251"/>
      <c r="AN92" s="250">
        <f>ROUND($AN$87+$AN$90,2)</f>
        <v>0</v>
      </c>
      <c r="AO92" s="251"/>
      <c r="AP92" s="251"/>
      <c r="AQ92" s="20"/>
    </row>
    <row r="93" spans="1:76" s="6" customFormat="1" ht="7.5" customHeight="1" x14ac:dyDescent="0.3"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3"/>
    </row>
  </sheetData>
  <mergeCells count="45">
    <mergeCell ref="W29:AE29"/>
    <mergeCell ref="AK29:AO29"/>
    <mergeCell ref="C2:AP2"/>
    <mergeCell ref="C4:AP4"/>
    <mergeCell ref="K5:AO5"/>
    <mergeCell ref="K6:AO6"/>
    <mergeCell ref="AK23:AO23"/>
    <mergeCell ref="L32:O32"/>
    <mergeCell ref="W32:AE32"/>
    <mergeCell ref="AK32:AO32"/>
    <mergeCell ref="X34:AB34"/>
    <mergeCell ref="AK34:AO34"/>
    <mergeCell ref="L30:O30"/>
    <mergeCell ref="W30:AE30"/>
    <mergeCell ref="AK30:AO30"/>
    <mergeCell ref="L31:O31"/>
    <mergeCell ref="W31:AE31"/>
    <mergeCell ref="AK31:AO31"/>
    <mergeCell ref="D88:H88"/>
    <mergeCell ref="J88:AF88"/>
    <mergeCell ref="AG87:AM87"/>
    <mergeCell ref="AN87:AP87"/>
    <mergeCell ref="L78:AO78"/>
    <mergeCell ref="AM82:AP82"/>
    <mergeCell ref="AM83:AP83"/>
    <mergeCell ref="C85:G85"/>
    <mergeCell ref="I85:AF85"/>
    <mergeCell ref="AG85:AM85"/>
    <mergeCell ref="AM80:AN80"/>
    <mergeCell ref="AG90:AM90"/>
    <mergeCell ref="AN90:AP90"/>
    <mergeCell ref="AG92:AM92"/>
    <mergeCell ref="AN92:AP92"/>
    <mergeCell ref="AR2:BE2"/>
    <mergeCell ref="AN88:AP88"/>
    <mergeCell ref="AG88:AM88"/>
    <mergeCell ref="AS82:AT84"/>
    <mergeCell ref="AN85:AP85"/>
    <mergeCell ref="AK26:AO26"/>
    <mergeCell ref="C76:AP76"/>
    <mergeCell ref="AK24:AO24"/>
    <mergeCell ref="L28:O28"/>
    <mergeCell ref="W28:AE28"/>
    <mergeCell ref="AK28:AO28"/>
    <mergeCell ref="L29:O29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20140147 - Kutná Hora ul....'!C2" tooltip="20140147 - Kutná Hora ul...." display="/"/>
  </hyperlinks>
  <pageMargins left="0.59027779102325439" right="0.59027779102325439" top="0.59027779102325439" bottom="0.59027779102325439" header="0" footer="0"/>
  <pageSetup paperSize="9" scale="95" fitToHeight="100" orientation="portrait" blackAndWhite="1" verticalDpi="0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43"/>
  <sheetViews>
    <sheetView showGridLines="0" workbookViewId="0">
      <pane ySplit="1" topLeftCell="A2" activePane="bottomLeft" state="frozenSplit"/>
      <selection pane="bottomLeft" activeCell="K41" sqref="K41"/>
    </sheetView>
  </sheetViews>
  <sheetFormatPr defaultColWidth="10.5" defaultRowHeight="14.25" customHeight="1" x14ac:dyDescent="0.3"/>
  <cols>
    <col min="1" max="1" width="8.33203125" style="2" customWidth="1"/>
    <col min="2" max="2" width="1.6640625" style="2" customWidth="1"/>
    <col min="3" max="3" width="4.1640625" style="2" customWidth="1"/>
    <col min="4" max="4" width="4.33203125" style="2" customWidth="1"/>
    <col min="5" max="5" width="17.1640625" style="2" customWidth="1"/>
    <col min="6" max="7" width="11.1640625" style="2" customWidth="1"/>
    <col min="8" max="8" width="12.5" style="2" customWidth="1"/>
    <col min="9" max="9" width="7" style="2" customWidth="1"/>
    <col min="10" max="10" width="5.1640625" style="2" customWidth="1"/>
    <col min="11" max="11" width="11.5" style="2" customWidth="1"/>
    <col min="12" max="12" width="12" style="2" customWidth="1"/>
    <col min="13" max="14" width="6" style="2" customWidth="1"/>
    <col min="15" max="15" width="2" style="2" customWidth="1"/>
    <col min="16" max="16" width="12.5" style="2" customWidth="1"/>
    <col min="17" max="17" width="4.1640625" style="2" customWidth="1"/>
    <col min="18" max="18" width="1.6640625" style="2" customWidth="1"/>
    <col min="19" max="19" width="8.1640625" style="2" customWidth="1"/>
    <col min="20" max="20" width="29.6640625" style="2" hidden="1" customWidth="1"/>
    <col min="21" max="21" width="16.33203125" style="2" hidden="1" customWidth="1"/>
    <col min="22" max="22" width="12.33203125" style="2" hidden="1" customWidth="1"/>
    <col min="23" max="23" width="16.33203125" style="2" hidden="1" customWidth="1"/>
    <col min="24" max="24" width="12.1640625" style="2" hidden="1" customWidth="1"/>
    <col min="25" max="25" width="15" style="2" hidden="1" customWidth="1"/>
    <col min="26" max="26" width="11" style="2" hidden="1" customWidth="1"/>
    <col min="27" max="27" width="15" style="2" hidden="1" customWidth="1"/>
    <col min="28" max="28" width="16.33203125" style="2" hidden="1" customWidth="1"/>
    <col min="29" max="29" width="22.1640625" style="2" customWidth="1"/>
    <col min="30" max="30" width="15" style="2" customWidth="1"/>
    <col min="31" max="31" width="16.33203125" style="2" customWidth="1"/>
    <col min="32" max="43" width="10.5" style="1" customWidth="1"/>
    <col min="44" max="64" width="10.5" style="2" hidden="1" customWidth="1"/>
    <col min="65" max="16384" width="10.5" style="1"/>
  </cols>
  <sheetData>
    <row r="1" spans="1:256" s="3" customFormat="1" ht="22.5" customHeight="1" x14ac:dyDescent="0.3">
      <c r="A1" s="137"/>
      <c r="B1" s="134"/>
      <c r="C1" s="134"/>
      <c r="D1" s="135" t="s">
        <v>1</v>
      </c>
      <c r="E1" s="134"/>
      <c r="F1" s="136" t="s">
        <v>260</v>
      </c>
      <c r="G1" s="136"/>
      <c r="H1" s="328" t="s">
        <v>261</v>
      </c>
      <c r="I1" s="328"/>
      <c r="J1" s="328"/>
      <c r="K1" s="328"/>
      <c r="L1" s="136" t="s">
        <v>262</v>
      </c>
      <c r="M1" s="134"/>
      <c r="N1" s="134"/>
      <c r="O1" s="135" t="s">
        <v>81</v>
      </c>
      <c r="P1" s="134"/>
      <c r="Q1" s="134"/>
      <c r="R1" s="134"/>
      <c r="S1" s="136" t="s">
        <v>263</v>
      </c>
      <c r="T1" s="136"/>
      <c r="U1" s="137"/>
      <c r="V1" s="137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</row>
    <row r="2" spans="1:256" s="2" customFormat="1" ht="37.5" customHeight="1" x14ac:dyDescent="0.3">
      <c r="C2" s="280" t="s">
        <v>4</v>
      </c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S2" s="252" t="s">
        <v>5</v>
      </c>
      <c r="T2" s="253"/>
      <c r="U2" s="253"/>
      <c r="V2" s="253"/>
      <c r="W2" s="253"/>
      <c r="X2" s="253"/>
      <c r="Y2" s="253"/>
      <c r="Z2" s="253"/>
      <c r="AA2" s="253"/>
      <c r="AB2" s="253"/>
      <c r="AC2" s="253"/>
      <c r="AT2" s="2" t="s">
        <v>74</v>
      </c>
    </row>
    <row r="3" spans="1:256" s="2" customFormat="1" ht="7.5" customHeight="1" x14ac:dyDescent="0.3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  <c r="AT3" s="2" t="s">
        <v>82</v>
      </c>
    </row>
    <row r="4" spans="1:256" s="2" customFormat="1" ht="37.5" customHeight="1" x14ac:dyDescent="0.3">
      <c r="B4" s="10"/>
      <c r="C4" s="264" t="s">
        <v>452</v>
      </c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11"/>
      <c r="T4" s="12" t="s">
        <v>10</v>
      </c>
      <c r="AT4" s="2" t="s">
        <v>3</v>
      </c>
    </row>
    <row r="5" spans="1:256" s="2" customFormat="1" ht="7.5" customHeight="1" x14ac:dyDescent="0.3">
      <c r="B5" s="10"/>
      <c r="R5" s="11"/>
    </row>
    <row r="6" spans="1:256" s="6" customFormat="1" ht="37.5" customHeight="1" x14ac:dyDescent="0.3">
      <c r="B6" s="19"/>
      <c r="D6" s="15" t="s">
        <v>13</v>
      </c>
      <c r="F6" s="281" t="s">
        <v>378</v>
      </c>
      <c r="G6" s="249"/>
      <c r="H6" s="249"/>
      <c r="I6" s="249"/>
      <c r="J6" s="249"/>
      <c r="K6" s="249"/>
      <c r="L6" s="249"/>
      <c r="M6" s="249"/>
      <c r="N6" s="249"/>
      <c r="O6" s="249"/>
      <c r="P6" s="249"/>
      <c r="R6" s="20"/>
    </row>
    <row r="7" spans="1:256" s="6" customFormat="1" ht="15" customHeight="1" x14ac:dyDescent="0.3">
      <c r="B7" s="19"/>
      <c r="D7" s="16" t="s">
        <v>16</v>
      </c>
      <c r="F7" s="155" t="s">
        <v>288</v>
      </c>
      <c r="M7" s="16" t="s">
        <v>17</v>
      </c>
      <c r="O7" s="14"/>
      <c r="R7" s="20"/>
    </row>
    <row r="8" spans="1:256" s="6" customFormat="1" ht="15" customHeight="1" x14ac:dyDescent="0.3">
      <c r="B8" s="19"/>
      <c r="D8" s="16" t="s">
        <v>19</v>
      </c>
      <c r="F8" s="14" t="s">
        <v>20</v>
      </c>
      <c r="M8" s="16" t="s">
        <v>21</v>
      </c>
      <c r="O8" s="276">
        <f>'Rekapitulace stavby'!$AN$8</f>
        <v>42933</v>
      </c>
      <c r="P8" s="249"/>
      <c r="R8" s="20"/>
    </row>
    <row r="9" spans="1:256" s="6" customFormat="1" ht="12" customHeight="1" x14ac:dyDescent="0.3">
      <c r="B9" s="19"/>
      <c r="R9" s="20"/>
    </row>
    <row r="10" spans="1:256" s="6" customFormat="1" ht="15" customHeight="1" x14ac:dyDescent="0.3">
      <c r="B10" s="19"/>
      <c r="D10" s="16" t="s">
        <v>24</v>
      </c>
      <c r="M10" s="16" t="s">
        <v>25</v>
      </c>
      <c r="O10" s="274" t="str">
        <f>IF('Rekapitulace stavby'!$AN$10="","",'Rekapitulace stavby'!$AN$10)</f>
        <v/>
      </c>
      <c r="P10" s="249"/>
      <c r="R10" s="20"/>
    </row>
    <row r="11" spans="1:256" s="6" customFormat="1" ht="18.75" customHeight="1" x14ac:dyDescent="0.3">
      <c r="B11" s="19"/>
      <c r="E11" s="14" t="str">
        <f>IF('Rekapitulace stavby'!$E$11="","",'Rekapitulace stavby'!$E$11)</f>
        <v xml:space="preserve"> </v>
      </c>
      <c r="M11" s="16" t="s">
        <v>27</v>
      </c>
      <c r="O11" s="274" t="str">
        <f>IF('Rekapitulace stavby'!$AN$11="","",'Rekapitulace stavby'!$AN$11)</f>
        <v/>
      </c>
      <c r="P11" s="249"/>
      <c r="R11" s="20"/>
    </row>
    <row r="12" spans="1:256" s="6" customFormat="1" ht="7.5" customHeight="1" x14ac:dyDescent="0.3">
      <c r="B12" s="19"/>
      <c r="R12" s="20"/>
    </row>
    <row r="13" spans="1:256" s="6" customFormat="1" ht="15" customHeight="1" x14ac:dyDescent="0.3">
      <c r="B13" s="19"/>
      <c r="D13" s="16" t="s">
        <v>28</v>
      </c>
      <c r="M13" s="16" t="s">
        <v>25</v>
      </c>
      <c r="O13" s="274" t="str">
        <f>IF('Rekapitulace stavby'!$AN$13="","",'Rekapitulace stavby'!$AN$13)</f>
        <v/>
      </c>
      <c r="P13" s="249"/>
      <c r="R13" s="20"/>
    </row>
    <row r="14" spans="1:256" s="6" customFormat="1" ht="18.75" customHeight="1" x14ac:dyDescent="0.3">
      <c r="B14" s="19"/>
      <c r="E14" s="14" t="str">
        <f>IF('Rekapitulace stavby'!$E$14="","",'Rekapitulace stavby'!$E$14)</f>
        <v xml:space="preserve"> </v>
      </c>
      <c r="M14" s="16" t="s">
        <v>27</v>
      </c>
      <c r="O14" s="274" t="str">
        <f>IF('Rekapitulace stavby'!$AN$14="","",'Rekapitulace stavby'!$AN$14)</f>
        <v/>
      </c>
      <c r="P14" s="249"/>
      <c r="R14" s="20"/>
    </row>
    <row r="15" spans="1:256" s="6" customFormat="1" ht="7.5" customHeight="1" x14ac:dyDescent="0.3">
      <c r="B15" s="19"/>
      <c r="R15" s="20"/>
    </row>
    <row r="16" spans="1:256" s="6" customFormat="1" ht="15" customHeight="1" x14ac:dyDescent="0.3">
      <c r="B16" s="19"/>
      <c r="D16" s="16" t="s">
        <v>29</v>
      </c>
      <c r="M16" s="16" t="s">
        <v>25</v>
      </c>
      <c r="O16" s="274" t="str">
        <f>IF('Rekapitulace stavby'!$AN$16="","",'Rekapitulace stavby'!$AN$16)</f>
        <v/>
      </c>
      <c r="P16" s="249"/>
      <c r="R16" s="20"/>
    </row>
    <row r="17" spans="2:18" s="6" customFormat="1" ht="18.75" customHeight="1" x14ac:dyDescent="0.3">
      <c r="B17" s="19"/>
      <c r="E17" s="14" t="str">
        <f>IF('Rekapitulace stavby'!$E$17="","",'Rekapitulace stavby'!$E$17)</f>
        <v xml:space="preserve"> </v>
      </c>
      <c r="M17" s="16" t="s">
        <v>27</v>
      </c>
      <c r="O17" s="274" t="str">
        <f>IF('Rekapitulace stavby'!$AN$17="","",'Rekapitulace stavby'!$AN$17)</f>
        <v/>
      </c>
      <c r="P17" s="249"/>
      <c r="R17" s="20"/>
    </row>
    <row r="18" spans="2:18" s="6" customFormat="1" ht="7.5" customHeight="1" x14ac:dyDescent="0.3">
      <c r="B18" s="19"/>
      <c r="R18" s="20"/>
    </row>
    <row r="19" spans="2:18" s="6" customFormat="1" ht="15" customHeight="1" x14ac:dyDescent="0.3">
      <c r="B19" s="19"/>
      <c r="D19" s="16" t="s">
        <v>31</v>
      </c>
      <c r="M19" s="16" t="s">
        <v>25</v>
      </c>
      <c r="O19" s="274"/>
      <c r="P19" s="249"/>
      <c r="R19" s="20"/>
    </row>
    <row r="20" spans="2:18" s="6" customFormat="1" ht="18.75" customHeight="1" x14ac:dyDescent="0.3">
      <c r="B20" s="19"/>
      <c r="E20" s="14" t="s">
        <v>32</v>
      </c>
      <c r="M20" s="16" t="s">
        <v>27</v>
      </c>
      <c r="O20" s="274"/>
      <c r="P20" s="249"/>
      <c r="R20" s="20"/>
    </row>
    <row r="21" spans="2:18" s="6" customFormat="1" ht="7.5" customHeight="1" x14ac:dyDescent="0.3">
      <c r="B21" s="19"/>
      <c r="R21" s="20"/>
    </row>
    <row r="22" spans="2:18" s="6" customFormat="1" ht="7.5" customHeight="1" x14ac:dyDescent="0.3">
      <c r="B22" s="19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R22" s="20"/>
    </row>
    <row r="23" spans="2:18" s="6" customFormat="1" ht="15" customHeight="1" x14ac:dyDescent="0.3">
      <c r="B23" s="19"/>
      <c r="D23" s="73" t="s">
        <v>83</v>
      </c>
      <c r="M23" s="265">
        <f>$N$87</f>
        <v>0</v>
      </c>
      <c r="N23" s="249"/>
      <c r="O23" s="249"/>
      <c r="P23" s="249"/>
      <c r="R23" s="20"/>
    </row>
    <row r="24" spans="2:18" s="6" customFormat="1" ht="15" customHeight="1" x14ac:dyDescent="0.3">
      <c r="B24" s="19"/>
      <c r="D24" s="18" t="s">
        <v>84</v>
      </c>
      <c r="M24" s="265">
        <f>$N$112</f>
        <v>0</v>
      </c>
      <c r="N24" s="249"/>
      <c r="O24" s="249"/>
      <c r="P24" s="249"/>
      <c r="R24" s="20"/>
    </row>
    <row r="25" spans="2:18" s="6" customFormat="1" ht="7.5" customHeight="1" x14ac:dyDescent="0.3">
      <c r="B25" s="19"/>
      <c r="R25" s="20"/>
    </row>
    <row r="26" spans="2:18" s="6" customFormat="1" ht="26.25" customHeight="1" x14ac:dyDescent="0.3">
      <c r="B26" s="19"/>
      <c r="D26" s="74" t="s">
        <v>35</v>
      </c>
      <c r="M26" s="345">
        <f>ROUND($M$23+$M$24,2)</f>
        <v>0</v>
      </c>
      <c r="N26" s="249"/>
      <c r="O26" s="249"/>
      <c r="P26" s="249"/>
      <c r="R26" s="20"/>
    </row>
    <row r="27" spans="2:18" s="6" customFormat="1" ht="7.5" customHeight="1" x14ac:dyDescent="0.3">
      <c r="B27" s="19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R27" s="20"/>
    </row>
    <row r="28" spans="2:18" s="6" customFormat="1" ht="15" customHeight="1" x14ac:dyDescent="0.3">
      <c r="B28" s="19"/>
      <c r="D28" s="24" t="s">
        <v>36</v>
      </c>
      <c r="E28" s="24" t="s">
        <v>37</v>
      </c>
      <c r="F28" s="25">
        <v>0.21</v>
      </c>
      <c r="G28" s="75" t="s">
        <v>38</v>
      </c>
      <c r="H28" s="344">
        <f>M23</f>
        <v>0</v>
      </c>
      <c r="I28" s="249"/>
      <c r="J28" s="249"/>
      <c r="M28" s="344">
        <f>L34-H28</f>
        <v>0</v>
      </c>
      <c r="N28" s="249"/>
      <c r="O28" s="249"/>
      <c r="P28" s="249"/>
      <c r="R28" s="20"/>
    </row>
    <row r="29" spans="2:18" s="6" customFormat="1" ht="15" customHeight="1" x14ac:dyDescent="0.3">
      <c r="B29" s="19"/>
      <c r="E29" s="24" t="s">
        <v>39</v>
      </c>
      <c r="F29" s="25">
        <v>0.15</v>
      </c>
      <c r="G29" s="75" t="s">
        <v>38</v>
      </c>
      <c r="H29" s="344">
        <v>0</v>
      </c>
      <c r="I29" s="249"/>
      <c r="J29" s="249"/>
      <c r="M29" s="344">
        <v>0</v>
      </c>
      <c r="N29" s="249"/>
      <c r="O29" s="249"/>
      <c r="P29" s="249"/>
      <c r="R29" s="20"/>
    </row>
    <row r="30" spans="2:18" s="6" customFormat="1" ht="15" hidden="1" customHeight="1" x14ac:dyDescent="0.3">
      <c r="B30" s="19"/>
      <c r="E30" s="24" t="s">
        <v>40</v>
      </c>
      <c r="F30" s="25">
        <v>0.21</v>
      </c>
      <c r="G30" s="75" t="s">
        <v>38</v>
      </c>
      <c r="H30" s="344" t="e">
        <f>ROUND((SUM($BG$112:$BG$113)+SUM($BG$130:$BG$341)),2)</f>
        <v>#REF!</v>
      </c>
      <c r="I30" s="249"/>
      <c r="J30" s="249"/>
      <c r="M30" s="344">
        <v>0</v>
      </c>
      <c r="N30" s="249"/>
      <c r="O30" s="249"/>
      <c r="P30" s="249"/>
      <c r="R30" s="20"/>
    </row>
    <row r="31" spans="2:18" s="6" customFormat="1" ht="15" hidden="1" customHeight="1" x14ac:dyDescent="0.3">
      <c r="B31" s="19"/>
      <c r="E31" s="24" t="s">
        <v>41</v>
      </c>
      <c r="F31" s="25">
        <v>0.15</v>
      </c>
      <c r="G31" s="75" t="s">
        <v>38</v>
      </c>
      <c r="H31" s="344" t="e">
        <f>ROUND((SUM($BH$112:$BH$113)+SUM($BH$130:$BH$341)),2)</f>
        <v>#REF!</v>
      </c>
      <c r="I31" s="249"/>
      <c r="J31" s="249"/>
      <c r="M31" s="344">
        <v>0</v>
      </c>
      <c r="N31" s="249"/>
      <c r="O31" s="249"/>
      <c r="P31" s="249"/>
      <c r="R31" s="20"/>
    </row>
    <row r="32" spans="2:18" s="6" customFormat="1" ht="15" hidden="1" customHeight="1" x14ac:dyDescent="0.3">
      <c r="B32" s="19"/>
      <c r="E32" s="24" t="s">
        <v>42</v>
      </c>
      <c r="F32" s="25">
        <v>0</v>
      </c>
      <c r="G32" s="75" t="s">
        <v>38</v>
      </c>
      <c r="H32" s="344" t="e">
        <f>ROUND((SUM($BI$112:$BI$113)+SUM($BI$130:$BI$341)),2)</f>
        <v>#REF!</v>
      </c>
      <c r="I32" s="249"/>
      <c r="J32" s="249"/>
      <c r="M32" s="344">
        <v>0</v>
      </c>
      <c r="N32" s="249"/>
      <c r="O32" s="249"/>
      <c r="P32" s="249"/>
      <c r="R32" s="20"/>
    </row>
    <row r="33" spans="2:18" s="6" customFormat="1" ht="7.5" customHeight="1" x14ac:dyDescent="0.3">
      <c r="B33" s="19"/>
      <c r="R33" s="20"/>
    </row>
    <row r="34" spans="2:18" s="6" customFormat="1" ht="26.25" customHeight="1" x14ac:dyDescent="0.3">
      <c r="B34" s="19"/>
      <c r="C34" s="28"/>
      <c r="D34" s="29" t="s">
        <v>43</v>
      </c>
      <c r="E34" s="30"/>
      <c r="F34" s="30"/>
      <c r="G34" s="76" t="s">
        <v>44</v>
      </c>
      <c r="H34" s="31" t="s">
        <v>45</v>
      </c>
      <c r="I34" s="30"/>
      <c r="J34" s="30"/>
      <c r="K34" s="30"/>
      <c r="L34" s="279">
        <f>M26*1.21</f>
        <v>0</v>
      </c>
      <c r="M34" s="260"/>
      <c r="N34" s="260"/>
      <c r="O34" s="260"/>
      <c r="P34" s="261"/>
      <c r="Q34" s="28"/>
      <c r="R34" s="20"/>
    </row>
    <row r="35" spans="2:18" s="6" customFormat="1" ht="15" customHeight="1" x14ac:dyDescent="0.3">
      <c r="B35" s="19"/>
      <c r="R35" s="20"/>
    </row>
    <row r="36" spans="2:18" s="6" customFormat="1" ht="15" customHeight="1" x14ac:dyDescent="0.3">
      <c r="B36" s="19"/>
      <c r="R36" s="20"/>
    </row>
    <row r="37" spans="2:18" s="2" customFormat="1" ht="14.25" customHeight="1" x14ac:dyDescent="0.3">
      <c r="B37" s="10"/>
      <c r="R37" s="11"/>
    </row>
    <row r="38" spans="2:18" s="2" customFormat="1" ht="14.25" customHeight="1" x14ac:dyDescent="0.3">
      <c r="B38" s="10"/>
      <c r="R38" s="11"/>
    </row>
    <row r="39" spans="2:18" s="2" customFormat="1" ht="14.25" customHeight="1" x14ac:dyDescent="0.3">
      <c r="B39" s="10"/>
      <c r="R39" s="11"/>
    </row>
    <row r="40" spans="2:18" s="2" customFormat="1" ht="14.25" customHeight="1" x14ac:dyDescent="0.3">
      <c r="B40" s="10"/>
      <c r="R40" s="11"/>
    </row>
    <row r="41" spans="2:18" s="2" customFormat="1" ht="14.25" customHeight="1" x14ac:dyDescent="0.3">
      <c r="B41" s="10"/>
      <c r="R41" s="11"/>
    </row>
    <row r="42" spans="2:18" s="2" customFormat="1" ht="14.25" customHeight="1" x14ac:dyDescent="0.3">
      <c r="B42" s="10"/>
      <c r="R42" s="11"/>
    </row>
    <row r="43" spans="2:18" s="2" customFormat="1" ht="14.25" customHeight="1" x14ac:dyDescent="0.3">
      <c r="B43" s="10"/>
      <c r="R43" s="11"/>
    </row>
    <row r="44" spans="2:18" s="2" customFormat="1" ht="14.25" customHeight="1" x14ac:dyDescent="0.3">
      <c r="B44" s="10"/>
      <c r="R44" s="11"/>
    </row>
    <row r="45" spans="2:18" s="2" customFormat="1" ht="14.25" customHeight="1" x14ac:dyDescent="0.3">
      <c r="B45" s="10"/>
      <c r="R45" s="11"/>
    </row>
    <row r="46" spans="2:18" s="2" customFormat="1" ht="14.25" customHeight="1" x14ac:dyDescent="0.3">
      <c r="B46" s="10"/>
      <c r="R46" s="11"/>
    </row>
    <row r="47" spans="2:18" s="2" customFormat="1" ht="14.25" customHeight="1" x14ac:dyDescent="0.3">
      <c r="B47" s="10"/>
      <c r="R47" s="11"/>
    </row>
    <row r="48" spans="2:18" s="2" customFormat="1" ht="14.25" customHeight="1" x14ac:dyDescent="0.3">
      <c r="B48" s="10"/>
      <c r="R48" s="11"/>
    </row>
    <row r="49" spans="2:18" s="2" customFormat="1" ht="14.25" customHeight="1" x14ac:dyDescent="0.3">
      <c r="B49" s="10"/>
      <c r="R49" s="11"/>
    </row>
    <row r="50" spans="2:18" s="6" customFormat="1" ht="15.75" customHeight="1" x14ac:dyDescent="0.3">
      <c r="B50" s="19"/>
      <c r="D50" s="32" t="s">
        <v>46</v>
      </c>
      <c r="E50" s="33"/>
      <c r="F50" s="33"/>
      <c r="G50" s="33"/>
      <c r="H50" s="34"/>
      <c r="J50" s="32" t="s">
        <v>47</v>
      </c>
      <c r="K50" s="33"/>
      <c r="L50" s="33"/>
      <c r="M50" s="33"/>
      <c r="N50" s="33"/>
      <c r="O50" s="33"/>
      <c r="P50" s="34"/>
      <c r="R50" s="20"/>
    </row>
    <row r="51" spans="2:18" s="2" customFormat="1" ht="14.25" customHeight="1" x14ac:dyDescent="0.3">
      <c r="B51" s="10"/>
      <c r="D51" s="35"/>
      <c r="H51" s="36"/>
      <c r="J51" s="35"/>
      <c r="P51" s="36"/>
      <c r="R51" s="11"/>
    </row>
    <row r="52" spans="2:18" s="2" customFormat="1" ht="14.25" customHeight="1" x14ac:dyDescent="0.3">
      <c r="B52" s="10"/>
      <c r="D52" s="35"/>
      <c r="H52" s="36"/>
      <c r="J52" s="35"/>
      <c r="P52" s="36"/>
      <c r="R52" s="11"/>
    </row>
    <row r="53" spans="2:18" s="2" customFormat="1" ht="14.25" customHeight="1" x14ac:dyDescent="0.3">
      <c r="B53" s="10"/>
      <c r="D53" s="35"/>
      <c r="H53" s="36"/>
      <c r="J53" s="35"/>
      <c r="P53" s="36"/>
      <c r="R53" s="11"/>
    </row>
    <row r="54" spans="2:18" s="2" customFormat="1" ht="14.25" customHeight="1" x14ac:dyDescent="0.3">
      <c r="B54" s="10"/>
      <c r="D54" s="35"/>
      <c r="H54" s="36"/>
      <c r="J54" s="35"/>
      <c r="P54" s="36"/>
      <c r="R54" s="11"/>
    </row>
    <row r="55" spans="2:18" s="2" customFormat="1" ht="14.25" customHeight="1" x14ac:dyDescent="0.3">
      <c r="B55" s="10"/>
      <c r="D55" s="35"/>
      <c r="H55" s="36"/>
      <c r="J55" s="35"/>
      <c r="P55" s="36"/>
      <c r="R55" s="11"/>
    </row>
    <row r="56" spans="2:18" s="2" customFormat="1" ht="14.25" customHeight="1" x14ac:dyDescent="0.3">
      <c r="B56" s="10"/>
      <c r="D56" s="35"/>
      <c r="H56" s="36"/>
      <c r="J56" s="35"/>
      <c r="P56" s="36"/>
      <c r="R56" s="11"/>
    </row>
    <row r="57" spans="2:18" s="2" customFormat="1" ht="14.25" customHeight="1" x14ac:dyDescent="0.3">
      <c r="B57" s="10"/>
      <c r="D57" s="35"/>
      <c r="H57" s="36"/>
      <c r="J57" s="35"/>
      <c r="P57" s="36"/>
      <c r="R57" s="11"/>
    </row>
    <row r="58" spans="2:18" s="2" customFormat="1" ht="14.25" customHeight="1" x14ac:dyDescent="0.3">
      <c r="B58" s="10"/>
      <c r="D58" s="35"/>
      <c r="H58" s="36"/>
      <c r="J58" s="35"/>
      <c r="P58" s="36"/>
      <c r="R58" s="11"/>
    </row>
    <row r="59" spans="2:18" s="6" customFormat="1" ht="15.75" customHeight="1" x14ac:dyDescent="0.3">
      <c r="B59" s="19"/>
      <c r="D59" s="37" t="s">
        <v>48</v>
      </c>
      <c r="E59" s="38"/>
      <c r="F59" s="38"/>
      <c r="G59" s="39" t="s">
        <v>49</v>
      </c>
      <c r="H59" s="40"/>
      <c r="J59" s="37" t="s">
        <v>48</v>
      </c>
      <c r="K59" s="38"/>
      <c r="L59" s="38"/>
      <c r="M59" s="38"/>
      <c r="N59" s="39" t="s">
        <v>49</v>
      </c>
      <c r="O59" s="38"/>
      <c r="P59" s="40"/>
      <c r="R59" s="20"/>
    </row>
    <row r="60" spans="2:18" s="2" customFormat="1" ht="14.25" customHeight="1" x14ac:dyDescent="0.3">
      <c r="B60" s="10"/>
      <c r="R60" s="11"/>
    </row>
    <row r="61" spans="2:18" s="6" customFormat="1" ht="15.75" customHeight="1" x14ac:dyDescent="0.3">
      <c r="B61" s="19"/>
      <c r="D61" s="32" t="s">
        <v>50</v>
      </c>
      <c r="E61" s="33"/>
      <c r="F61" s="33"/>
      <c r="G61" s="33"/>
      <c r="H61" s="34"/>
      <c r="J61" s="32" t="s">
        <v>51</v>
      </c>
      <c r="K61" s="33"/>
      <c r="L61" s="33"/>
      <c r="M61" s="33"/>
      <c r="N61" s="33"/>
      <c r="O61" s="33"/>
      <c r="P61" s="34"/>
      <c r="R61" s="20"/>
    </row>
    <row r="62" spans="2:18" s="2" customFormat="1" ht="14.25" customHeight="1" x14ac:dyDescent="0.3">
      <c r="B62" s="10"/>
      <c r="D62" s="35"/>
      <c r="H62" s="36"/>
      <c r="J62" s="35"/>
      <c r="P62" s="36"/>
      <c r="R62" s="11"/>
    </row>
    <row r="63" spans="2:18" s="2" customFormat="1" ht="14.25" customHeight="1" x14ac:dyDescent="0.3">
      <c r="B63" s="10"/>
      <c r="D63" s="35"/>
      <c r="H63" s="36"/>
      <c r="J63" s="35"/>
      <c r="P63" s="36"/>
      <c r="R63" s="11"/>
    </row>
    <row r="64" spans="2:18" s="2" customFormat="1" ht="14.25" customHeight="1" x14ac:dyDescent="0.3">
      <c r="B64" s="10"/>
      <c r="D64" s="35"/>
      <c r="H64" s="36"/>
      <c r="J64" s="35"/>
      <c r="P64" s="36"/>
      <c r="R64" s="11"/>
    </row>
    <row r="65" spans="2:18" s="2" customFormat="1" ht="14.25" customHeight="1" x14ac:dyDescent="0.3">
      <c r="B65" s="10"/>
      <c r="D65" s="35"/>
      <c r="H65" s="36"/>
      <c r="J65" s="35"/>
      <c r="P65" s="36"/>
      <c r="R65" s="11"/>
    </row>
    <row r="66" spans="2:18" s="2" customFormat="1" ht="14.25" customHeight="1" x14ac:dyDescent="0.3">
      <c r="B66" s="10"/>
      <c r="D66" s="35"/>
      <c r="H66" s="36"/>
      <c r="J66" s="35"/>
      <c r="P66" s="36"/>
      <c r="R66" s="11"/>
    </row>
    <row r="67" spans="2:18" s="2" customFormat="1" ht="14.25" customHeight="1" x14ac:dyDescent="0.3">
      <c r="B67" s="10"/>
      <c r="D67" s="35"/>
      <c r="H67" s="36"/>
      <c r="J67" s="35"/>
      <c r="P67" s="36"/>
      <c r="R67" s="11"/>
    </row>
    <row r="68" spans="2:18" s="2" customFormat="1" ht="14.25" customHeight="1" x14ac:dyDescent="0.3">
      <c r="B68" s="10"/>
      <c r="D68" s="35"/>
      <c r="H68" s="36"/>
      <c r="J68" s="35"/>
      <c r="P68" s="36"/>
      <c r="R68" s="11"/>
    </row>
    <row r="69" spans="2:18" s="2" customFormat="1" ht="14.25" customHeight="1" x14ac:dyDescent="0.3">
      <c r="B69" s="10"/>
      <c r="D69" s="35"/>
      <c r="H69" s="36"/>
      <c r="J69" s="35"/>
      <c r="P69" s="36"/>
      <c r="R69" s="11"/>
    </row>
    <row r="70" spans="2:18" s="6" customFormat="1" ht="15.75" customHeight="1" x14ac:dyDescent="0.3">
      <c r="B70" s="19"/>
      <c r="D70" s="37" t="s">
        <v>48</v>
      </c>
      <c r="E70" s="38"/>
      <c r="F70" s="38"/>
      <c r="G70" s="39" t="s">
        <v>49</v>
      </c>
      <c r="H70" s="40"/>
      <c r="J70" s="37" t="s">
        <v>48</v>
      </c>
      <c r="K70" s="38"/>
      <c r="L70" s="38"/>
      <c r="M70" s="38"/>
      <c r="N70" s="39" t="s">
        <v>49</v>
      </c>
      <c r="O70" s="38"/>
      <c r="P70" s="40"/>
      <c r="R70" s="20"/>
    </row>
    <row r="71" spans="2:18" s="6" customFormat="1" ht="15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6" customFormat="1" ht="7.5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6" customFormat="1" ht="37.5" customHeight="1" x14ac:dyDescent="0.3">
      <c r="B76" s="19"/>
      <c r="C76" s="264" t="s">
        <v>453</v>
      </c>
      <c r="D76" s="249"/>
      <c r="E76" s="249"/>
      <c r="F76" s="249"/>
      <c r="G76" s="249"/>
      <c r="H76" s="249"/>
      <c r="I76" s="249"/>
      <c r="J76" s="249"/>
      <c r="K76" s="249"/>
      <c r="L76" s="249"/>
      <c r="M76" s="249"/>
      <c r="N76" s="249"/>
      <c r="O76" s="249"/>
      <c r="P76" s="249"/>
      <c r="Q76" s="249"/>
      <c r="R76" s="20"/>
    </row>
    <row r="77" spans="2:18" s="6" customFormat="1" ht="7.5" customHeight="1" x14ac:dyDescent="0.3">
      <c r="B77" s="19"/>
      <c r="R77" s="20"/>
    </row>
    <row r="78" spans="2:18" s="6" customFormat="1" ht="37.5" customHeight="1" x14ac:dyDescent="0.3">
      <c r="B78" s="19"/>
      <c r="C78" s="49" t="s">
        <v>13</v>
      </c>
      <c r="F78" s="273" t="str">
        <f>$F$6</f>
        <v>Rekonstrukce ulice Na Náměti, Kutná Hora</v>
      </c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R78" s="20"/>
    </row>
    <row r="79" spans="2:18" s="6" customFormat="1" ht="7.5" customHeight="1" x14ac:dyDescent="0.3">
      <c r="B79" s="19"/>
      <c r="R79" s="20"/>
    </row>
    <row r="80" spans="2:18" s="6" customFormat="1" ht="18.75" customHeight="1" x14ac:dyDescent="0.3">
      <c r="B80" s="19"/>
      <c r="C80" s="16" t="s">
        <v>19</v>
      </c>
      <c r="F80" s="14" t="str">
        <f>$F$8</f>
        <v>Kutná Hora</v>
      </c>
      <c r="K80" s="16" t="s">
        <v>21</v>
      </c>
      <c r="M80" s="276">
        <f>IF($O$8="","",$O$8)</f>
        <v>42933</v>
      </c>
      <c r="N80" s="249"/>
      <c r="O80" s="249"/>
      <c r="P80" s="249"/>
      <c r="R80" s="20"/>
    </row>
    <row r="81" spans="2:47" s="6" customFormat="1" ht="7.5" customHeight="1" x14ac:dyDescent="0.3">
      <c r="B81" s="19"/>
      <c r="R81" s="20"/>
    </row>
    <row r="82" spans="2:47" s="6" customFormat="1" ht="15.75" customHeight="1" x14ac:dyDescent="0.3">
      <c r="B82" s="19"/>
      <c r="C82" s="16" t="s">
        <v>24</v>
      </c>
      <c r="F82" s="14" t="str">
        <f>$E$11</f>
        <v xml:space="preserve"> </v>
      </c>
      <c r="K82" s="16" t="s">
        <v>29</v>
      </c>
      <c r="M82" s="274" t="str">
        <f>$E$17</f>
        <v xml:space="preserve"> </v>
      </c>
      <c r="N82" s="249"/>
      <c r="O82" s="249"/>
      <c r="P82" s="249"/>
      <c r="Q82" s="249"/>
      <c r="R82" s="20"/>
    </row>
    <row r="83" spans="2:47" s="6" customFormat="1" ht="15" customHeight="1" x14ac:dyDescent="0.3">
      <c r="B83" s="19"/>
      <c r="C83" s="16" t="s">
        <v>28</v>
      </c>
      <c r="F83" s="14" t="str">
        <f>IF($E$14="","",$E$14)</f>
        <v xml:space="preserve"> </v>
      </c>
      <c r="K83" s="16" t="s">
        <v>31</v>
      </c>
      <c r="M83" s="274" t="str">
        <f>$E$20</f>
        <v>PROAGRO Pardubice s.r.o.</v>
      </c>
      <c r="N83" s="249"/>
      <c r="O83" s="249"/>
      <c r="P83" s="249"/>
      <c r="Q83" s="249"/>
      <c r="R83" s="20"/>
    </row>
    <row r="84" spans="2:47" s="6" customFormat="1" ht="11.25" customHeight="1" x14ac:dyDescent="0.3">
      <c r="B84" s="19"/>
      <c r="R84" s="20"/>
    </row>
    <row r="85" spans="2:47" s="6" customFormat="1" ht="30" customHeight="1" x14ac:dyDescent="0.3">
      <c r="B85" s="19"/>
      <c r="C85" s="343" t="s">
        <v>85</v>
      </c>
      <c r="D85" s="251"/>
      <c r="E85" s="251"/>
      <c r="F85" s="251"/>
      <c r="G85" s="251"/>
      <c r="H85" s="28"/>
      <c r="I85" s="28"/>
      <c r="J85" s="28"/>
      <c r="K85" s="28"/>
      <c r="L85" s="28"/>
      <c r="M85" s="28"/>
      <c r="N85" s="343" t="s">
        <v>86</v>
      </c>
      <c r="O85" s="249"/>
      <c r="P85" s="249"/>
      <c r="Q85" s="249"/>
      <c r="R85" s="20"/>
    </row>
    <row r="86" spans="2:47" s="6" customFormat="1" ht="11.25" customHeight="1" x14ac:dyDescent="0.3">
      <c r="B86" s="19"/>
      <c r="R86" s="20"/>
    </row>
    <row r="87" spans="2:47" s="6" customFormat="1" ht="30" customHeight="1" x14ac:dyDescent="0.3">
      <c r="B87" s="19"/>
      <c r="C87" s="59" t="s">
        <v>87</v>
      </c>
      <c r="N87" s="248">
        <f>ROUND($N$130,2)</f>
        <v>0</v>
      </c>
      <c r="O87" s="249"/>
      <c r="P87" s="249"/>
      <c r="Q87" s="249"/>
      <c r="R87" s="20"/>
      <c r="AU87" s="6" t="s">
        <v>88</v>
      </c>
    </row>
    <row r="88" spans="2:47" s="77" customFormat="1" ht="25.5" customHeight="1" x14ac:dyDescent="0.3">
      <c r="B88" s="78"/>
      <c r="D88" s="79" t="s">
        <v>89</v>
      </c>
      <c r="N88" s="342">
        <f>ROUND($N$131,2)</f>
        <v>0</v>
      </c>
      <c r="O88" s="324"/>
      <c r="P88" s="324"/>
      <c r="Q88" s="324"/>
      <c r="R88" s="80"/>
    </row>
    <row r="89" spans="2:47" s="73" customFormat="1" ht="21" customHeight="1" x14ac:dyDescent="0.3">
      <c r="B89" s="81"/>
      <c r="D89" s="82" t="s">
        <v>90</v>
      </c>
      <c r="N89" s="323">
        <f>ROUND($N$132,2)</f>
        <v>0</v>
      </c>
      <c r="O89" s="324"/>
      <c r="P89" s="324"/>
      <c r="Q89" s="324"/>
      <c r="R89" s="83"/>
    </row>
    <row r="90" spans="2:47" s="73" customFormat="1" ht="21" customHeight="1" x14ac:dyDescent="0.3">
      <c r="B90" s="81"/>
      <c r="D90" s="82" t="s">
        <v>91</v>
      </c>
      <c r="N90" s="323">
        <f>ROUND($N$142,2)</f>
        <v>0</v>
      </c>
      <c r="O90" s="324"/>
      <c r="P90" s="324"/>
      <c r="Q90" s="324"/>
      <c r="R90" s="83"/>
    </row>
    <row r="91" spans="2:47" s="73" customFormat="1" ht="21" customHeight="1" x14ac:dyDescent="0.3">
      <c r="B91" s="81"/>
      <c r="D91" s="82" t="s">
        <v>92</v>
      </c>
      <c r="N91" s="323">
        <f>ROUND($N$156,2)</f>
        <v>0</v>
      </c>
      <c r="O91" s="324"/>
      <c r="P91" s="324"/>
      <c r="Q91" s="324"/>
      <c r="R91" s="83"/>
    </row>
    <row r="92" spans="2:47" s="73" customFormat="1" ht="21" customHeight="1" x14ac:dyDescent="0.3">
      <c r="B92" s="81"/>
      <c r="D92" s="82" t="s">
        <v>93</v>
      </c>
      <c r="N92" s="323">
        <f>ROUND($N$171,2)</f>
        <v>0</v>
      </c>
      <c r="O92" s="324"/>
      <c r="P92" s="324"/>
      <c r="Q92" s="324"/>
      <c r="R92" s="83"/>
    </row>
    <row r="93" spans="2:47" s="73" customFormat="1" ht="21" customHeight="1" x14ac:dyDescent="0.3">
      <c r="B93" s="81"/>
      <c r="D93" s="82" t="s">
        <v>94</v>
      </c>
      <c r="N93" s="323">
        <f>ROUND($N$178,2)</f>
        <v>0</v>
      </c>
      <c r="O93" s="324"/>
      <c r="P93" s="324"/>
      <c r="Q93" s="324"/>
      <c r="R93" s="83"/>
    </row>
    <row r="94" spans="2:47" s="73" customFormat="1" ht="21" customHeight="1" x14ac:dyDescent="0.3">
      <c r="B94" s="81"/>
      <c r="D94" s="82" t="str">
        <f>D187</f>
        <v xml:space="preserve">    913 - Ostrůvková  obruba CSB HK převýšená +12 cm - OSTRŮVEK</v>
      </c>
      <c r="N94" s="323">
        <f>N187</f>
        <v>0</v>
      </c>
      <c r="O94" s="324"/>
      <c r="P94" s="324"/>
      <c r="Q94" s="324"/>
      <c r="R94" s="83"/>
    </row>
    <row r="95" spans="2:47" s="73" customFormat="1" ht="21" customHeight="1" x14ac:dyDescent="0.3">
      <c r="B95" s="81"/>
      <c r="D95" s="82" t="str">
        <f>D193</f>
        <v xml:space="preserve">    914 - Řezaná spára</v>
      </c>
      <c r="N95" s="323">
        <f>ROUND($N$193,2)</f>
        <v>0</v>
      </c>
      <c r="O95" s="324"/>
      <c r="P95" s="324"/>
      <c r="Q95" s="324"/>
      <c r="R95" s="83"/>
    </row>
    <row r="96" spans="2:47" s="73" customFormat="1" ht="21" customHeight="1" x14ac:dyDescent="0.3">
      <c r="B96" s="81"/>
      <c r="D96" s="82" t="str">
        <f>D198</f>
        <v xml:space="preserve">    915 - Záhonová obruba žulová</v>
      </c>
      <c r="N96" s="323">
        <f>ROUND($N$198,2)</f>
        <v>0</v>
      </c>
      <c r="O96" s="324"/>
      <c r="P96" s="324"/>
      <c r="Q96" s="324"/>
      <c r="R96" s="83"/>
    </row>
    <row r="97" spans="2:21" s="73" customFormat="1" ht="21" customHeight="1" x14ac:dyDescent="0.3">
      <c r="B97" s="81"/>
      <c r="D97" s="82" t="str">
        <f>D204</f>
        <v xml:space="preserve">    501 - Chodníky pochůzné</v>
      </c>
      <c r="N97" s="323">
        <f>ROUND($N$204,2)</f>
        <v>0</v>
      </c>
      <c r="O97" s="324"/>
      <c r="P97" s="324"/>
      <c r="Q97" s="324"/>
      <c r="R97" s="83"/>
    </row>
    <row r="98" spans="2:21" s="73" customFormat="1" ht="21" customHeight="1" x14ac:dyDescent="0.3">
      <c r="B98" s="81"/>
      <c r="D98" s="82" t="str">
        <f>D211</f>
        <v xml:space="preserve">    502 - Chodníky pochůzné slepecké</v>
      </c>
      <c r="N98" s="323">
        <f>ROUND($N$211,2)</f>
        <v>0</v>
      </c>
      <c r="O98" s="324"/>
      <c r="P98" s="324"/>
      <c r="Q98" s="324"/>
      <c r="R98" s="83"/>
    </row>
    <row r="99" spans="2:21" s="73" customFormat="1" ht="21" customHeight="1" x14ac:dyDescent="0.3">
      <c r="B99" s="81"/>
      <c r="D99" s="82" t="str">
        <f>D216</f>
        <v xml:space="preserve">    503 - Lemovací dlažba COMCON CDR</v>
      </c>
      <c r="N99" s="323">
        <f>ROUND($N$216,2)</f>
        <v>0</v>
      </c>
      <c r="O99" s="324"/>
      <c r="P99" s="324"/>
      <c r="Q99" s="324"/>
      <c r="R99" s="83"/>
    </row>
    <row r="100" spans="2:21" s="73" customFormat="1" ht="21" customHeight="1" x14ac:dyDescent="0.3">
      <c r="B100" s="81"/>
      <c r="D100" s="82" t="str">
        <f>D222</f>
        <v xml:space="preserve">    504 - Silnice žulová kostka velká</v>
      </c>
      <c r="N100" s="323">
        <f>N222</f>
        <v>0</v>
      </c>
      <c r="O100" s="324"/>
      <c r="P100" s="324"/>
      <c r="Q100" s="324"/>
      <c r="R100" s="83"/>
    </row>
    <row r="101" spans="2:21" s="73" customFormat="1" ht="21" customHeight="1" x14ac:dyDescent="0.3">
      <c r="B101" s="81"/>
      <c r="D101" s="82" t="str">
        <f>D230</f>
        <v xml:space="preserve">    505 - parkovací záliv žulová kostka velká</v>
      </c>
      <c r="N101" s="323">
        <f>N230</f>
        <v>0</v>
      </c>
      <c r="O101" s="324"/>
      <c r="P101" s="324"/>
      <c r="Q101" s="324"/>
      <c r="R101" s="83"/>
    </row>
    <row r="102" spans="2:21" s="73" customFormat="1" ht="21" customHeight="1" x14ac:dyDescent="0.3">
      <c r="B102" s="81"/>
      <c r="D102" s="82" t="str">
        <f>D238</f>
        <v xml:space="preserve">    506 - Chodník mlatový nový</v>
      </c>
      <c r="N102" s="323">
        <f>N238</f>
        <v>0</v>
      </c>
      <c r="O102" s="324"/>
      <c r="P102" s="324"/>
      <c r="Q102" s="324"/>
      <c r="R102" s="83"/>
    </row>
    <row r="103" spans="2:21" s="73" customFormat="1" ht="21" customHeight="1" x14ac:dyDescent="0.3">
      <c r="B103" s="81"/>
      <c r="D103" s="82" t="str">
        <f>D244</f>
        <v xml:space="preserve">    507 - Chodník mlatový obrusná vrstva</v>
      </c>
      <c r="N103" s="323">
        <f>N244</f>
        <v>0</v>
      </c>
      <c r="O103" s="324"/>
      <c r="P103" s="324"/>
      <c r="Q103" s="324"/>
      <c r="R103" s="83"/>
    </row>
    <row r="104" spans="2:21" s="73" customFormat="1" ht="21" customHeight="1" x14ac:dyDescent="0.3">
      <c r="B104" s="81"/>
      <c r="D104" s="82" t="str">
        <f>D248</f>
        <v xml:space="preserve">    508 - Sadové úpravy</v>
      </c>
      <c r="N104" s="323">
        <f>N248</f>
        <v>0</v>
      </c>
      <c r="O104" s="324"/>
      <c r="P104" s="324"/>
      <c r="Q104" s="324"/>
      <c r="R104" s="83"/>
    </row>
    <row r="105" spans="2:21" s="73" customFormat="1" ht="21" customHeight="1" x14ac:dyDescent="0.3">
      <c r="B105" s="81"/>
      <c r="D105" s="82" t="str">
        <f>D255</f>
        <v xml:space="preserve">    509 - Výsadba dřevin</v>
      </c>
      <c r="N105" s="323">
        <f>N255</f>
        <v>0</v>
      </c>
      <c r="O105" s="324"/>
      <c r="P105" s="324"/>
      <c r="Q105" s="324"/>
      <c r="R105" s="83"/>
    </row>
    <row r="106" spans="2:21" s="73" customFormat="1" ht="21" customHeight="1" x14ac:dyDescent="0.3">
      <c r="B106" s="81"/>
      <c r="D106" s="82" t="s">
        <v>95</v>
      </c>
      <c r="N106" s="323">
        <f>ROUND($N$269,2)</f>
        <v>0</v>
      </c>
      <c r="O106" s="324"/>
      <c r="P106" s="324"/>
      <c r="Q106" s="324"/>
      <c r="R106" s="83"/>
    </row>
    <row r="107" spans="2:21" s="73" customFormat="1" ht="21" customHeight="1" x14ac:dyDescent="0.3">
      <c r="B107" s="81"/>
      <c r="D107" s="82" t="s">
        <v>96</v>
      </c>
      <c r="N107" s="323">
        <f>ROUND($N$274,2)</f>
        <v>0</v>
      </c>
      <c r="O107" s="324"/>
      <c r="P107" s="324"/>
      <c r="Q107" s="324"/>
      <c r="R107" s="83"/>
    </row>
    <row r="108" spans="2:21" s="73" customFormat="1" ht="21" customHeight="1" x14ac:dyDescent="0.3">
      <c r="B108" s="81"/>
      <c r="D108" s="82" t="s">
        <v>97</v>
      </c>
      <c r="N108" s="323">
        <f>ROUND($N$307,2)</f>
        <v>0</v>
      </c>
      <c r="O108" s="324"/>
      <c r="P108" s="324"/>
      <c r="Q108" s="324"/>
      <c r="R108" s="83"/>
    </row>
    <row r="109" spans="2:21" s="73" customFormat="1" ht="21" customHeight="1" x14ac:dyDescent="0.3">
      <c r="B109" s="81"/>
      <c r="D109" s="82" t="s">
        <v>98</v>
      </c>
      <c r="N109" s="323">
        <f>ROUND($N$317,2)</f>
        <v>0</v>
      </c>
      <c r="O109" s="324"/>
      <c r="P109" s="324"/>
      <c r="Q109" s="324"/>
      <c r="R109" s="83"/>
    </row>
    <row r="110" spans="2:21" s="77" customFormat="1" ht="25.5" customHeight="1" x14ac:dyDescent="0.3">
      <c r="B110" s="78"/>
      <c r="D110" s="79" t="s">
        <v>99</v>
      </c>
      <c r="N110" s="342">
        <f>ROUND($N$336,2)</f>
        <v>0</v>
      </c>
      <c r="O110" s="324"/>
      <c r="P110" s="324"/>
      <c r="Q110" s="324"/>
      <c r="R110" s="80"/>
    </row>
    <row r="111" spans="2:21" s="6" customFormat="1" ht="22.5" customHeight="1" x14ac:dyDescent="0.3">
      <c r="B111" s="19"/>
      <c r="R111" s="20"/>
    </row>
    <row r="112" spans="2:21" s="6" customFormat="1" ht="30" customHeight="1" x14ac:dyDescent="0.3">
      <c r="B112" s="19"/>
      <c r="C112" s="59" t="s">
        <v>100</v>
      </c>
      <c r="N112" s="248">
        <v>0</v>
      </c>
      <c r="O112" s="249"/>
      <c r="P112" s="249"/>
      <c r="Q112" s="249"/>
      <c r="R112" s="20"/>
      <c r="T112" s="84"/>
      <c r="U112" s="85" t="s">
        <v>36</v>
      </c>
    </row>
    <row r="113" spans="2:36" s="6" customFormat="1" ht="18.75" customHeight="1" x14ac:dyDescent="0.3">
      <c r="B113" s="19"/>
      <c r="R113" s="20"/>
    </row>
    <row r="114" spans="2:36" s="6" customFormat="1" ht="30" customHeight="1" x14ac:dyDescent="0.3">
      <c r="B114" s="19"/>
      <c r="C114" s="72" t="s">
        <v>80</v>
      </c>
      <c r="D114" s="28"/>
      <c r="E114" s="28"/>
      <c r="F114" s="28"/>
      <c r="G114" s="28"/>
      <c r="H114" s="28"/>
      <c r="I114" s="28"/>
      <c r="J114" s="28"/>
      <c r="K114" s="28"/>
      <c r="L114" s="250">
        <f>ROUND(SUM($N$87+$N$112),2)</f>
        <v>0</v>
      </c>
      <c r="M114" s="251"/>
      <c r="N114" s="251"/>
      <c r="O114" s="251"/>
      <c r="P114" s="251"/>
      <c r="Q114" s="251"/>
      <c r="R114" s="20"/>
    </row>
    <row r="115" spans="2:36" s="6" customFormat="1" ht="7.5" customHeight="1" x14ac:dyDescent="0.3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3"/>
    </row>
    <row r="119" spans="2:36" s="6" customFormat="1" ht="7.5" customHeight="1" x14ac:dyDescent="0.3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pans="2:36" s="6" customFormat="1" ht="37.5" customHeight="1" x14ac:dyDescent="0.3">
      <c r="B120" s="19"/>
      <c r="C120" s="264" t="s">
        <v>454</v>
      </c>
      <c r="D120" s="249"/>
      <c r="E120" s="249"/>
      <c r="F120" s="249"/>
      <c r="G120" s="249"/>
      <c r="H120" s="249"/>
      <c r="I120" s="249"/>
      <c r="J120" s="249"/>
      <c r="K120" s="249"/>
      <c r="L120" s="249"/>
      <c r="M120" s="249"/>
      <c r="N120" s="249"/>
      <c r="O120" s="249"/>
      <c r="P120" s="249"/>
      <c r="Q120" s="249"/>
      <c r="R120" s="20"/>
    </row>
    <row r="121" spans="2:36" s="6" customFormat="1" ht="7.5" customHeight="1" x14ac:dyDescent="0.3">
      <c r="B121" s="19"/>
      <c r="R121" s="20"/>
    </row>
    <row r="122" spans="2:36" s="6" customFormat="1" ht="37.5" customHeight="1" x14ac:dyDescent="0.3">
      <c r="B122" s="19"/>
      <c r="C122" s="49" t="s">
        <v>13</v>
      </c>
      <c r="F122" s="273" t="str">
        <f>$F$6</f>
        <v>Rekonstrukce ulice Na Náměti, Kutná Hora</v>
      </c>
      <c r="G122" s="249"/>
      <c r="H122" s="249"/>
      <c r="I122" s="249"/>
      <c r="J122" s="249"/>
      <c r="K122" s="249"/>
      <c r="L122" s="249"/>
      <c r="M122" s="249"/>
      <c r="N122" s="249"/>
      <c r="O122" s="249"/>
      <c r="P122" s="249"/>
      <c r="R122" s="20"/>
    </row>
    <row r="123" spans="2:36" s="6" customFormat="1" ht="7.5" customHeight="1" x14ac:dyDescent="0.3">
      <c r="B123" s="19"/>
      <c r="F123" s="156" t="s">
        <v>288</v>
      </c>
      <c r="R123" s="20"/>
    </row>
    <row r="124" spans="2:36" s="6" customFormat="1" ht="18.75" customHeight="1" x14ac:dyDescent="0.3">
      <c r="B124" s="19"/>
      <c r="C124" s="16" t="s">
        <v>19</v>
      </c>
      <c r="F124" s="14" t="str">
        <f>$F$8</f>
        <v>Kutná Hora</v>
      </c>
      <c r="K124" s="16" t="s">
        <v>21</v>
      </c>
      <c r="M124" s="276">
        <f>IF($O$8="","",$O$8)</f>
        <v>42933</v>
      </c>
      <c r="N124" s="249"/>
      <c r="O124" s="249"/>
      <c r="P124" s="249"/>
      <c r="R124" s="20"/>
    </row>
    <row r="125" spans="2:36" s="6" customFormat="1" ht="7.5" customHeight="1" x14ac:dyDescent="0.3">
      <c r="B125" s="19"/>
      <c r="R125" s="20"/>
    </row>
    <row r="126" spans="2:36" s="6" customFormat="1" ht="15.75" customHeight="1" x14ac:dyDescent="0.3">
      <c r="B126" s="19"/>
      <c r="C126" s="16" t="s">
        <v>24</v>
      </c>
      <c r="F126" s="14" t="str">
        <f>$E$11</f>
        <v xml:space="preserve"> </v>
      </c>
      <c r="K126" s="16" t="s">
        <v>29</v>
      </c>
      <c r="M126" s="274" t="str">
        <f>$E$17</f>
        <v xml:space="preserve"> </v>
      </c>
      <c r="N126" s="249"/>
      <c r="O126" s="249"/>
      <c r="P126" s="249"/>
      <c r="Q126" s="249"/>
      <c r="R126" s="20"/>
    </row>
    <row r="127" spans="2:36" s="6" customFormat="1" ht="15" customHeight="1" x14ac:dyDescent="0.3">
      <c r="B127" s="19"/>
      <c r="C127" s="16" t="s">
        <v>28</v>
      </c>
      <c r="F127" s="14" t="str">
        <f>IF($E$14="","",$E$14)</f>
        <v xml:space="preserve"> </v>
      </c>
      <c r="K127" s="16" t="s">
        <v>31</v>
      </c>
      <c r="M127" s="274" t="str">
        <f>$E$20</f>
        <v>PROAGRO Pardubice s.r.o.</v>
      </c>
      <c r="N127" s="249"/>
      <c r="O127" s="249"/>
      <c r="P127" s="249"/>
      <c r="Q127" s="249"/>
      <c r="R127" s="20"/>
      <c r="AC127" s="138"/>
      <c r="AD127" s="138"/>
      <c r="AE127" s="138"/>
      <c r="AF127" s="138"/>
      <c r="AG127" s="138"/>
      <c r="AH127" s="138"/>
      <c r="AI127" s="138"/>
      <c r="AJ127" s="138"/>
    </row>
    <row r="128" spans="2:36" s="6" customFormat="1" ht="11.25" customHeight="1" x14ac:dyDescent="0.3">
      <c r="B128" s="19"/>
      <c r="R128" s="20"/>
      <c r="AC128" s="138"/>
      <c r="AD128" s="138"/>
      <c r="AE128" s="138"/>
      <c r="AF128" s="138"/>
      <c r="AG128" s="138"/>
      <c r="AH128" s="138"/>
      <c r="AI128" s="138"/>
      <c r="AJ128" s="138"/>
    </row>
    <row r="129" spans="2:65" s="86" customFormat="1" ht="30" customHeight="1" x14ac:dyDescent="0.3">
      <c r="B129" s="87"/>
      <c r="C129" s="88" t="s">
        <v>101</v>
      </c>
      <c r="D129" s="89" t="s">
        <v>102</v>
      </c>
      <c r="E129" s="89" t="s">
        <v>54</v>
      </c>
      <c r="F129" s="338" t="s">
        <v>103</v>
      </c>
      <c r="G129" s="339"/>
      <c r="H129" s="339"/>
      <c r="I129" s="339"/>
      <c r="J129" s="89" t="s">
        <v>104</v>
      </c>
      <c r="K129" s="89" t="s">
        <v>105</v>
      </c>
      <c r="L129" s="338" t="s">
        <v>106</v>
      </c>
      <c r="M129" s="339"/>
      <c r="N129" s="338" t="s">
        <v>107</v>
      </c>
      <c r="O129" s="339"/>
      <c r="P129" s="339"/>
      <c r="Q129" s="340"/>
      <c r="R129" s="90"/>
      <c r="T129" s="54" t="s">
        <v>108</v>
      </c>
      <c r="U129" s="55" t="s">
        <v>36</v>
      </c>
      <c r="V129" s="55" t="s">
        <v>109</v>
      </c>
      <c r="W129" s="55" t="s">
        <v>110</v>
      </c>
      <c r="X129" s="55" t="s">
        <v>111</v>
      </c>
      <c r="Y129" s="55" t="s">
        <v>112</v>
      </c>
      <c r="Z129" s="55" t="s">
        <v>113</v>
      </c>
      <c r="AA129" s="56" t="s">
        <v>114</v>
      </c>
      <c r="AC129" s="138"/>
      <c r="AD129" s="139"/>
      <c r="AE129" s="139"/>
      <c r="AF129" s="139"/>
      <c r="AG129" s="139"/>
      <c r="AH129" s="139"/>
      <c r="AI129" s="139"/>
      <c r="AJ129" s="139"/>
    </row>
    <row r="130" spans="2:65" s="6" customFormat="1" ht="30" customHeight="1" x14ac:dyDescent="0.35">
      <c r="B130" s="19"/>
      <c r="C130" s="59" t="s">
        <v>83</v>
      </c>
      <c r="N130" s="341">
        <f>N131+N336</f>
        <v>0</v>
      </c>
      <c r="O130" s="249"/>
      <c r="P130" s="249"/>
      <c r="Q130" s="249"/>
      <c r="R130" s="20"/>
      <c r="T130" s="58"/>
      <c r="U130" s="33"/>
      <c r="V130" s="33"/>
      <c r="W130" s="91" t="e">
        <f>$W$131+$W$336</f>
        <v>#REF!</v>
      </c>
      <c r="X130" s="33"/>
      <c r="Y130" s="91" t="e">
        <f>$Y$131+$Y$336</f>
        <v>#REF!</v>
      </c>
      <c r="Z130" s="33"/>
      <c r="AA130" s="92" t="e">
        <f>$AA$131+$AA$336</f>
        <v>#REF!</v>
      </c>
      <c r="AC130" s="138"/>
      <c r="AD130" s="138"/>
      <c r="AE130" s="138"/>
      <c r="AF130" s="138"/>
      <c r="AG130" s="138"/>
      <c r="AH130" s="138"/>
      <c r="AI130" s="138"/>
      <c r="AJ130" s="138"/>
      <c r="AT130" s="6" t="s">
        <v>71</v>
      </c>
      <c r="AU130" s="6" t="s">
        <v>88</v>
      </c>
      <c r="BK130" s="93" t="e">
        <f>$BK$131+$BK$336</f>
        <v>#REF!</v>
      </c>
    </row>
    <row r="131" spans="2:65" s="94" customFormat="1" ht="37.5" customHeight="1" x14ac:dyDescent="0.35">
      <c r="B131" s="95"/>
      <c r="D131" s="96" t="s">
        <v>89</v>
      </c>
      <c r="N131" s="331">
        <f>N132+N142+N156+N171+N178+N187+N193+N198+N204+N211+N216+N222+N230+N238+N244+N248+N255+N269+N274+N307+N317+N332</f>
        <v>0</v>
      </c>
      <c r="O131" s="301"/>
      <c r="P131" s="301"/>
      <c r="Q131" s="301"/>
      <c r="R131" s="98"/>
      <c r="T131" s="99"/>
      <c r="W131" s="100" t="e">
        <f>$W$132+$W$142+$W$156+$W$171+$W$178+#REF!+$W$193+$W$198+$W$204+$W$211+$W$216+#REF!+#REF!+#REF!+$W$222+$W$230+$W$248+$W$269+$W$274+$W$307+$W$317</f>
        <v>#REF!</v>
      </c>
      <c r="Y131" s="100" t="e">
        <f>$Y$132+$Y$142+$Y$156+$Y$171+$Y$178+#REF!+$Y$193+$Y$198+$Y$204+$Y$211+$Y$216+#REF!+#REF!+#REF!+$Y$222+$Y$230+$Y$248+$Y$269+$Y$274+$Y$307+$Y$317</f>
        <v>#REF!</v>
      </c>
      <c r="AA131" s="101" t="e">
        <f>$AA$132+$AA$142+$AA$156+$AA$171+$AA$178+#REF!+$AA$193+$AA$198+$AA$204+$AA$211+$AA$216+#REF!+#REF!+#REF!+$AA$222+$AA$230+$AA$248+$AA$269+$AA$274+$AA$307+$AA$317</f>
        <v>#REF!</v>
      </c>
      <c r="AC131" s="154"/>
      <c r="AD131" s="140"/>
      <c r="AE131" s="140"/>
      <c r="AF131" s="140"/>
      <c r="AG131" s="140"/>
      <c r="AH131" s="140"/>
      <c r="AI131" s="140"/>
      <c r="AJ131" s="140"/>
      <c r="AR131" s="97" t="s">
        <v>18</v>
      </c>
      <c r="AT131" s="97" t="s">
        <v>71</v>
      </c>
      <c r="AU131" s="97" t="s">
        <v>72</v>
      </c>
      <c r="AY131" s="97" t="s">
        <v>115</v>
      </c>
      <c r="BK131" s="102" t="e">
        <f>$BK$132+$BK$142+$BK$156+$BK$171+$BK$178+#REF!+$BK$193+$BK$198+$BK$204+$BK$211+$BK$216+#REF!+#REF!+#REF!+$BK$222+$BK$230+$BK$248+$BK$269+$BK$274+$BK$307+$BK$317</f>
        <v>#REF!</v>
      </c>
    </row>
    <row r="132" spans="2:65" s="94" customFormat="1" ht="21" customHeight="1" x14ac:dyDescent="0.3">
      <c r="B132" s="95"/>
      <c r="D132" s="103" t="s">
        <v>90</v>
      </c>
      <c r="N132" s="300">
        <f>SUM(N133:Q141)</f>
        <v>0</v>
      </c>
      <c r="O132" s="301"/>
      <c r="P132" s="301"/>
      <c r="Q132" s="301"/>
      <c r="R132" s="98"/>
      <c r="T132" s="99"/>
      <c r="W132" s="100">
        <f>SUM($W$133:$W$141)</f>
        <v>162.93421399999997</v>
      </c>
      <c r="Y132" s="100">
        <f>SUM($Y$133:$Y$141)</f>
        <v>0</v>
      </c>
      <c r="AA132" s="101">
        <f>SUM($AA$133:$AA$141)</f>
        <v>0</v>
      </c>
      <c r="AC132" s="141"/>
      <c r="AD132" s="140"/>
      <c r="AE132" s="140"/>
      <c r="AF132" s="142"/>
      <c r="AG132" s="140"/>
      <c r="AH132" s="140"/>
      <c r="AI132" s="140"/>
      <c r="AJ132" s="140"/>
      <c r="AR132" s="97" t="s">
        <v>18</v>
      </c>
      <c r="AT132" s="97" t="s">
        <v>71</v>
      </c>
      <c r="AU132" s="97" t="s">
        <v>18</v>
      </c>
      <c r="AY132" s="97" t="s">
        <v>115</v>
      </c>
      <c r="BK132" s="102">
        <f>SUM($BK$133:$BK$141)</f>
        <v>0</v>
      </c>
    </row>
    <row r="133" spans="2:65" s="6" customFormat="1" ht="27" customHeight="1" x14ac:dyDescent="0.3">
      <c r="B133" s="19"/>
      <c r="C133" s="104" t="s">
        <v>18</v>
      </c>
      <c r="D133" s="104" t="s">
        <v>116</v>
      </c>
      <c r="E133" s="105" t="s">
        <v>117</v>
      </c>
      <c r="F133" s="286" t="s">
        <v>118</v>
      </c>
      <c r="G133" s="285"/>
      <c r="H133" s="285"/>
      <c r="I133" s="285"/>
      <c r="J133" s="106" t="s">
        <v>119</v>
      </c>
      <c r="K133" s="107">
        <f>10.052+63.864+138.907+12</f>
        <v>224.82300000000001</v>
      </c>
      <c r="L133" s="287"/>
      <c r="M133" s="285"/>
      <c r="N133" s="287">
        <f>K133*L133</f>
        <v>0</v>
      </c>
      <c r="O133" s="285"/>
      <c r="P133" s="285"/>
      <c r="Q133" s="285"/>
      <c r="R133" s="20"/>
      <c r="T133" s="108"/>
      <c r="U133" s="26" t="s">
        <v>37</v>
      </c>
      <c r="V133" s="109">
        <v>0.11700000000000001</v>
      </c>
      <c r="W133" s="109">
        <f>$V$133*$K$133</f>
        <v>26.304291000000003</v>
      </c>
      <c r="X133" s="109">
        <v>0</v>
      </c>
      <c r="Y133" s="109">
        <f>$X$133*$K$133</f>
        <v>0</v>
      </c>
      <c r="Z133" s="109">
        <v>0</v>
      </c>
      <c r="AA133" s="110">
        <f>$Z$133*$K$133</f>
        <v>0</v>
      </c>
      <c r="AC133" s="143"/>
      <c r="AD133" s="138"/>
      <c r="AE133" s="138"/>
      <c r="AF133" s="138"/>
      <c r="AG133" s="138"/>
      <c r="AH133" s="138"/>
      <c r="AI133" s="138"/>
      <c r="AJ133" s="138"/>
      <c r="AR133" s="6" t="s">
        <v>120</v>
      </c>
      <c r="AT133" s="6" t="s">
        <v>116</v>
      </c>
      <c r="AU133" s="6" t="s">
        <v>82</v>
      </c>
      <c r="AY133" s="6" t="s">
        <v>115</v>
      </c>
      <c r="BE133" s="111">
        <f>IF($U$133="základní",$N$133,0)</f>
        <v>0</v>
      </c>
      <c r="BF133" s="111">
        <f>IF($U$133="snížená",$N$133,0)</f>
        <v>0</v>
      </c>
      <c r="BG133" s="111">
        <f>IF($U$133="zákl. přenesená",$N$133,0)</f>
        <v>0</v>
      </c>
      <c r="BH133" s="111">
        <f>IF($U$133="sníž. přenesená",$N$133,0)</f>
        <v>0</v>
      </c>
      <c r="BI133" s="111">
        <f>IF($U$133="nulová",$N$133,0)</f>
        <v>0</v>
      </c>
      <c r="BJ133" s="6" t="s">
        <v>18</v>
      </c>
      <c r="BK133" s="112">
        <f>ROUND($L$133*$K$133,3)</f>
        <v>0</v>
      </c>
      <c r="BL133" s="6" t="s">
        <v>120</v>
      </c>
    </row>
    <row r="134" spans="2:65" s="6" customFormat="1" ht="27" customHeight="1" x14ac:dyDescent="0.3">
      <c r="B134" s="19"/>
      <c r="C134" s="104" t="s">
        <v>82</v>
      </c>
      <c r="D134" s="104" t="s">
        <v>116</v>
      </c>
      <c r="E134" s="105" t="s">
        <v>121</v>
      </c>
      <c r="F134" s="286" t="s">
        <v>122</v>
      </c>
      <c r="G134" s="285"/>
      <c r="H134" s="285"/>
      <c r="I134" s="285"/>
      <c r="J134" s="106" t="s">
        <v>119</v>
      </c>
      <c r="K134" s="107">
        <f>K133</f>
        <v>224.82300000000001</v>
      </c>
      <c r="L134" s="287"/>
      <c r="M134" s="285"/>
      <c r="N134" s="287">
        <f>K134*L134</f>
        <v>0</v>
      </c>
      <c r="O134" s="285"/>
      <c r="P134" s="285"/>
      <c r="Q134" s="285"/>
      <c r="R134" s="20"/>
      <c r="T134" s="108"/>
      <c r="U134" s="26" t="s">
        <v>37</v>
      </c>
      <c r="V134" s="109">
        <v>5.8000000000000003E-2</v>
      </c>
      <c r="W134" s="109">
        <f>$V$134*$K$134</f>
        <v>13.039734000000001</v>
      </c>
      <c r="X134" s="109">
        <v>0</v>
      </c>
      <c r="Y134" s="109">
        <f>$X$134*$K$134</f>
        <v>0</v>
      </c>
      <c r="Z134" s="109">
        <v>0</v>
      </c>
      <c r="AA134" s="110">
        <f>$Z$134*$K$134</f>
        <v>0</v>
      </c>
      <c r="AC134" s="144"/>
      <c r="AD134" s="145"/>
      <c r="AE134" s="138"/>
      <c r="AF134" s="138"/>
      <c r="AG134" s="138"/>
      <c r="AH134" s="138"/>
      <c r="AI134" s="138"/>
      <c r="AJ134" s="138"/>
      <c r="AR134" s="6" t="s">
        <v>120</v>
      </c>
      <c r="AT134" s="6" t="s">
        <v>116</v>
      </c>
      <c r="AU134" s="6" t="s">
        <v>82</v>
      </c>
      <c r="AY134" s="6" t="s">
        <v>115</v>
      </c>
      <c r="BE134" s="111">
        <f>IF($U$134="základní",$N$134,0)</f>
        <v>0</v>
      </c>
      <c r="BF134" s="111">
        <f>IF($U$134="snížená",$N$134,0)</f>
        <v>0</v>
      </c>
      <c r="BG134" s="111">
        <f>IF($U$134="zákl. přenesená",$N$134,0)</f>
        <v>0</v>
      </c>
      <c r="BH134" s="111">
        <f>IF($U$134="sníž. přenesená",$N$134,0)</f>
        <v>0</v>
      </c>
      <c r="BI134" s="111">
        <f>IF($U$134="nulová",$N$134,0)</f>
        <v>0</v>
      </c>
      <c r="BJ134" s="6" t="s">
        <v>18</v>
      </c>
      <c r="BK134" s="112">
        <f>ROUND($L$134*$K$134,3)</f>
        <v>0</v>
      </c>
      <c r="BL134" s="6" t="s">
        <v>120</v>
      </c>
    </row>
    <row r="135" spans="2:65" s="6" customFormat="1" ht="27" customHeight="1" x14ac:dyDescent="0.3">
      <c r="B135" s="19"/>
      <c r="C135" s="104" t="s">
        <v>123</v>
      </c>
      <c r="D135" s="104" t="s">
        <v>116</v>
      </c>
      <c r="E135" s="105" t="s">
        <v>124</v>
      </c>
      <c r="F135" s="286" t="s">
        <v>125</v>
      </c>
      <c r="G135" s="285"/>
      <c r="H135" s="285"/>
      <c r="I135" s="285"/>
      <c r="J135" s="106" t="s">
        <v>119</v>
      </c>
      <c r="K135" s="107">
        <f>K133</f>
        <v>224.82300000000001</v>
      </c>
      <c r="L135" s="287"/>
      <c r="M135" s="285"/>
      <c r="N135" s="287">
        <f>K135*L135</f>
        <v>0</v>
      </c>
      <c r="O135" s="285"/>
      <c r="P135" s="285"/>
      <c r="Q135" s="285"/>
      <c r="R135" s="20"/>
      <c r="T135" s="108"/>
      <c r="U135" s="26" t="s">
        <v>37</v>
      </c>
      <c r="V135" s="109">
        <v>8.3000000000000004E-2</v>
      </c>
      <c r="W135" s="109">
        <f>$V$135*$K$135</f>
        <v>18.660309000000002</v>
      </c>
      <c r="X135" s="109">
        <v>0</v>
      </c>
      <c r="Y135" s="109">
        <f>$X$135*$K$135</f>
        <v>0</v>
      </c>
      <c r="Z135" s="109">
        <v>0</v>
      </c>
      <c r="AA135" s="110">
        <f>$Z$135*$K$135</f>
        <v>0</v>
      </c>
      <c r="AC135" s="142"/>
      <c r="AD135" s="138"/>
      <c r="AE135" s="144"/>
      <c r="AF135" s="138"/>
      <c r="AG135" s="138"/>
      <c r="AH135" s="138"/>
      <c r="AI135" s="138"/>
      <c r="AJ135" s="138"/>
      <c r="AR135" s="6" t="s">
        <v>120</v>
      </c>
      <c r="AT135" s="6" t="s">
        <v>116</v>
      </c>
      <c r="AU135" s="6" t="s">
        <v>82</v>
      </c>
      <c r="AY135" s="6" t="s">
        <v>115</v>
      </c>
      <c r="BE135" s="111">
        <f>IF($U$135="základní",$N$135,0)</f>
        <v>0</v>
      </c>
      <c r="BF135" s="111">
        <f>IF($U$135="snížená",$N$135,0)</f>
        <v>0</v>
      </c>
      <c r="BG135" s="111">
        <f>IF($U$135="zákl. přenesená",$N$135,0)</f>
        <v>0</v>
      </c>
      <c r="BH135" s="111">
        <f>IF($U$135="sníž. přenesená",$N$135,0)</f>
        <v>0</v>
      </c>
      <c r="BI135" s="111">
        <f>IF($U$135="nulová",$N$135,0)</f>
        <v>0</v>
      </c>
      <c r="BJ135" s="6" t="s">
        <v>18</v>
      </c>
      <c r="BK135" s="112">
        <f>ROUND($L$135*$K$135,3)</f>
        <v>0</v>
      </c>
      <c r="BL135" s="6" t="s">
        <v>120</v>
      </c>
    </row>
    <row r="136" spans="2:65" s="6" customFormat="1" ht="39" customHeight="1" x14ac:dyDescent="0.3">
      <c r="B136" s="19"/>
      <c r="C136" s="104" t="s">
        <v>120</v>
      </c>
      <c r="D136" s="104" t="s">
        <v>116</v>
      </c>
      <c r="E136" s="105" t="s">
        <v>126</v>
      </c>
      <c r="F136" s="286" t="s">
        <v>127</v>
      </c>
      <c r="G136" s="285"/>
      <c r="H136" s="285"/>
      <c r="I136" s="285"/>
      <c r="J136" s="106" t="s">
        <v>119</v>
      </c>
      <c r="K136" s="107">
        <f>K133</f>
        <v>224.82300000000001</v>
      </c>
      <c r="L136" s="287"/>
      <c r="M136" s="285"/>
      <c r="N136" s="287">
        <f>K136*L136</f>
        <v>0</v>
      </c>
      <c r="O136" s="285"/>
      <c r="P136" s="285"/>
      <c r="Q136" s="285"/>
      <c r="R136" s="20"/>
      <c r="T136" s="108"/>
      <c r="U136" s="26" t="s">
        <v>37</v>
      </c>
      <c r="V136" s="109">
        <v>4.0000000000000001E-3</v>
      </c>
      <c r="W136" s="109">
        <f>$V$136*$K$136</f>
        <v>0.89929200000000009</v>
      </c>
      <c r="X136" s="109">
        <v>0</v>
      </c>
      <c r="Y136" s="109">
        <f>$X$136*$K$136</f>
        <v>0</v>
      </c>
      <c r="Z136" s="109">
        <v>0</v>
      </c>
      <c r="AA136" s="110">
        <f>$Z$136*$K$136</f>
        <v>0</v>
      </c>
      <c r="AC136" s="144"/>
      <c r="AD136" s="144"/>
      <c r="AE136" s="144"/>
      <c r="AF136" s="138"/>
      <c r="AG136" s="138"/>
      <c r="AH136" s="138"/>
      <c r="AI136" s="138"/>
      <c r="AJ136" s="138"/>
      <c r="AR136" s="6" t="s">
        <v>120</v>
      </c>
      <c r="AT136" s="6" t="s">
        <v>116</v>
      </c>
      <c r="AU136" s="6" t="s">
        <v>82</v>
      </c>
      <c r="AY136" s="6" t="s">
        <v>115</v>
      </c>
      <c r="BE136" s="111">
        <f>IF($U$136="základní",$N$136,0)</f>
        <v>0</v>
      </c>
      <c r="BF136" s="111">
        <f>IF($U$136="snížená",$N$136,0)</f>
        <v>0</v>
      </c>
      <c r="BG136" s="111">
        <f>IF($U$136="zákl. přenesená",$N$136,0)</f>
        <v>0</v>
      </c>
      <c r="BH136" s="111">
        <f>IF($U$136="sníž. přenesená",$N$136,0)</f>
        <v>0</v>
      </c>
      <c r="BI136" s="111">
        <f>IF($U$136="nulová",$N$136,0)</f>
        <v>0</v>
      </c>
      <c r="BJ136" s="6" t="s">
        <v>18</v>
      </c>
      <c r="BK136" s="112">
        <f>ROUND($L$136*$K$136,3)</f>
        <v>0</v>
      </c>
      <c r="BL136" s="6" t="s">
        <v>120</v>
      </c>
    </row>
    <row r="137" spans="2:65" s="6" customFormat="1" ht="15.75" customHeight="1" x14ac:dyDescent="0.3">
      <c r="B137" s="113"/>
      <c r="E137" s="114"/>
      <c r="F137" s="308" t="s">
        <v>266</v>
      </c>
      <c r="G137" s="309"/>
      <c r="H137" s="309"/>
      <c r="I137" s="309"/>
      <c r="K137" s="115">
        <f>K133</f>
        <v>224.82300000000001</v>
      </c>
      <c r="R137" s="116"/>
      <c r="T137" s="117"/>
      <c r="AA137" s="118"/>
      <c r="AC137" s="138"/>
      <c r="AD137" s="138"/>
      <c r="AE137" s="138"/>
      <c r="AF137" s="138"/>
      <c r="AG137" s="138"/>
      <c r="AH137" s="138"/>
      <c r="AI137" s="138"/>
      <c r="AJ137" s="138"/>
      <c r="AT137" s="114" t="s">
        <v>128</v>
      </c>
      <c r="AU137" s="114" t="s">
        <v>82</v>
      </c>
      <c r="AV137" s="114" t="s">
        <v>82</v>
      </c>
      <c r="AW137" s="114" t="s">
        <v>88</v>
      </c>
      <c r="AX137" s="114" t="s">
        <v>18</v>
      </c>
      <c r="AY137" s="114" t="s">
        <v>115</v>
      </c>
    </row>
    <row r="138" spans="2:65" s="6" customFormat="1" ht="27" customHeight="1" x14ac:dyDescent="0.3">
      <c r="B138" s="19"/>
      <c r="C138" s="104" t="s">
        <v>129</v>
      </c>
      <c r="D138" s="104" t="s">
        <v>116</v>
      </c>
      <c r="E138" s="105" t="s">
        <v>130</v>
      </c>
      <c r="F138" s="286" t="s">
        <v>131</v>
      </c>
      <c r="G138" s="285"/>
      <c r="H138" s="285"/>
      <c r="I138" s="285"/>
      <c r="J138" s="106" t="s">
        <v>119</v>
      </c>
      <c r="K138" s="107">
        <f>K133</f>
        <v>224.82300000000001</v>
      </c>
      <c r="L138" s="287"/>
      <c r="M138" s="285"/>
      <c r="N138" s="287">
        <f>K138*L138</f>
        <v>0</v>
      </c>
      <c r="O138" s="285"/>
      <c r="P138" s="285"/>
      <c r="Q138" s="285"/>
      <c r="R138" s="20"/>
      <c r="T138" s="108"/>
      <c r="U138" s="26" t="s">
        <v>37</v>
      </c>
      <c r="V138" s="109">
        <v>9.7000000000000003E-2</v>
      </c>
      <c r="W138" s="109">
        <f>$V$138*$K$138</f>
        <v>21.807831</v>
      </c>
      <c r="X138" s="109">
        <v>0</v>
      </c>
      <c r="Y138" s="109">
        <f>$X$138*$K$138</f>
        <v>0</v>
      </c>
      <c r="Z138" s="109">
        <v>0</v>
      </c>
      <c r="AA138" s="110">
        <f>$Z$138*$K$138</f>
        <v>0</v>
      </c>
      <c r="AC138" s="138"/>
      <c r="AD138" s="138"/>
      <c r="AE138" s="138"/>
      <c r="AF138" s="138"/>
      <c r="AG138" s="138"/>
      <c r="AH138" s="138"/>
      <c r="AI138" s="138"/>
      <c r="AJ138" s="138"/>
      <c r="AR138" s="6" t="s">
        <v>120</v>
      </c>
      <c r="AT138" s="6" t="s">
        <v>116</v>
      </c>
      <c r="AU138" s="6" t="s">
        <v>82</v>
      </c>
      <c r="AY138" s="6" t="s">
        <v>115</v>
      </c>
      <c r="BE138" s="111">
        <f>IF($U$138="základní",$N$138,0)</f>
        <v>0</v>
      </c>
      <c r="BF138" s="111">
        <f>IF($U$138="snížená",$N$138,0)</f>
        <v>0</v>
      </c>
      <c r="BG138" s="111">
        <f>IF($U$138="zákl. přenesená",$N$138,0)</f>
        <v>0</v>
      </c>
      <c r="BH138" s="111">
        <f>IF($U$138="sníž. přenesená",$N$138,0)</f>
        <v>0</v>
      </c>
      <c r="BI138" s="111">
        <f>IF($U$138="nulová",$N$138,0)</f>
        <v>0</v>
      </c>
      <c r="BJ138" s="6" t="s">
        <v>18</v>
      </c>
      <c r="BK138" s="112">
        <f>ROUND($L$138*$K$138,3)</f>
        <v>0</v>
      </c>
      <c r="BL138" s="6" t="s">
        <v>120</v>
      </c>
    </row>
    <row r="139" spans="2:65" s="6" customFormat="1" ht="15.75" customHeight="1" x14ac:dyDescent="0.3">
      <c r="B139" s="19"/>
      <c r="C139" s="104" t="s">
        <v>132</v>
      </c>
      <c r="D139" s="104" t="s">
        <v>116</v>
      </c>
      <c r="E139" s="105" t="s">
        <v>133</v>
      </c>
      <c r="F139" s="286" t="s">
        <v>134</v>
      </c>
      <c r="G139" s="285"/>
      <c r="H139" s="285"/>
      <c r="I139" s="285"/>
      <c r="J139" s="106" t="s">
        <v>135</v>
      </c>
      <c r="K139" s="107">
        <f>K205+K212+K223+K231+K239+K245</f>
        <v>2291.41</v>
      </c>
      <c r="L139" s="287"/>
      <c r="M139" s="285"/>
      <c r="N139" s="287">
        <f>K139*L139</f>
        <v>0</v>
      </c>
      <c r="O139" s="285"/>
      <c r="P139" s="285"/>
      <c r="Q139" s="285"/>
      <c r="R139" s="20"/>
      <c r="T139" s="108"/>
      <c r="U139" s="26" t="s">
        <v>37</v>
      </c>
      <c r="V139" s="109">
        <v>3.5000000000000003E-2</v>
      </c>
      <c r="W139" s="109">
        <f>$V$139*$K$139</f>
        <v>80.199349999999995</v>
      </c>
      <c r="X139" s="109">
        <v>0</v>
      </c>
      <c r="Y139" s="109">
        <f>$X$139*$K$139</f>
        <v>0</v>
      </c>
      <c r="Z139" s="109">
        <v>0</v>
      </c>
      <c r="AA139" s="110">
        <f>$Z$139*$K$139</f>
        <v>0</v>
      </c>
      <c r="AC139" s="138"/>
      <c r="AD139" s="138"/>
      <c r="AE139" s="138"/>
      <c r="AF139" s="138"/>
      <c r="AG139" s="138"/>
      <c r="AH139" s="138"/>
      <c r="AI139" s="138"/>
      <c r="AJ139" s="138"/>
      <c r="AR139" s="6" t="s">
        <v>120</v>
      </c>
      <c r="AT139" s="6" t="s">
        <v>116</v>
      </c>
      <c r="AU139" s="6" t="s">
        <v>82</v>
      </c>
      <c r="AY139" s="6" t="s">
        <v>115</v>
      </c>
      <c r="BE139" s="111">
        <f>IF($U$139="základní",$N$139,0)</f>
        <v>0</v>
      </c>
      <c r="BF139" s="111">
        <f>IF($U$139="snížená",$N$139,0)</f>
        <v>0</v>
      </c>
      <c r="BG139" s="111">
        <f>IF($U$139="zákl. přenesená",$N$139,0)</f>
        <v>0</v>
      </c>
      <c r="BH139" s="111">
        <f>IF($U$139="sníž. přenesená",$N$139,0)</f>
        <v>0</v>
      </c>
      <c r="BI139" s="111">
        <f>IF($U$139="nulová",$N$139,0)</f>
        <v>0</v>
      </c>
      <c r="BJ139" s="6" t="s">
        <v>18</v>
      </c>
      <c r="BK139" s="112">
        <f>ROUND($L$139*$K$139,3)</f>
        <v>0</v>
      </c>
      <c r="BL139" s="6" t="s">
        <v>120</v>
      </c>
    </row>
    <row r="140" spans="2:65" s="6" customFormat="1" ht="15.75" customHeight="1" x14ac:dyDescent="0.3">
      <c r="B140" s="19"/>
      <c r="C140" s="104" t="s">
        <v>136</v>
      </c>
      <c r="D140" s="104" t="s">
        <v>116</v>
      </c>
      <c r="E140" s="105" t="s">
        <v>137</v>
      </c>
      <c r="F140" s="286" t="s">
        <v>138</v>
      </c>
      <c r="G140" s="285"/>
      <c r="H140" s="285"/>
      <c r="I140" s="285"/>
      <c r="J140" s="106" t="s">
        <v>119</v>
      </c>
      <c r="K140" s="107">
        <f>K133</f>
        <v>224.82300000000001</v>
      </c>
      <c r="L140" s="287"/>
      <c r="M140" s="285"/>
      <c r="N140" s="287">
        <f>K140*L140</f>
        <v>0</v>
      </c>
      <c r="O140" s="285"/>
      <c r="P140" s="285"/>
      <c r="Q140" s="285"/>
      <c r="R140" s="20"/>
      <c r="T140" s="108"/>
      <c r="U140" s="26" t="s">
        <v>37</v>
      </c>
      <c r="V140" s="109">
        <v>8.9999999999999993E-3</v>
      </c>
      <c r="W140" s="109">
        <f>$V$140*$K$140</f>
        <v>2.0234069999999997</v>
      </c>
      <c r="X140" s="109">
        <v>0</v>
      </c>
      <c r="Y140" s="109">
        <f>$X$140*$K$140</f>
        <v>0</v>
      </c>
      <c r="Z140" s="109">
        <v>0</v>
      </c>
      <c r="AA140" s="110">
        <f>$Z$140*$K$140</f>
        <v>0</v>
      </c>
      <c r="AC140" s="138"/>
      <c r="AD140" s="138"/>
      <c r="AE140" s="138"/>
      <c r="AF140" s="138"/>
      <c r="AG140" s="138"/>
      <c r="AH140" s="138"/>
      <c r="AI140" s="138"/>
      <c r="AJ140" s="138"/>
      <c r="AR140" s="6" t="s">
        <v>120</v>
      </c>
      <c r="AT140" s="6" t="s">
        <v>116</v>
      </c>
      <c r="AU140" s="6" t="s">
        <v>82</v>
      </c>
      <c r="AY140" s="6" t="s">
        <v>115</v>
      </c>
      <c r="BE140" s="111">
        <f>IF($U$140="základní",$N$140,0)</f>
        <v>0</v>
      </c>
      <c r="BF140" s="111">
        <f>IF($U$140="snížená",$N$140,0)</f>
        <v>0</v>
      </c>
      <c r="BG140" s="111">
        <f>IF($U$140="zákl. přenesená",$N$140,0)</f>
        <v>0</v>
      </c>
      <c r="BH140" s="111">
        <f>IF($U$140="sníž. přenesená",$N$140,0)</f>
        <v>0</v>
      </c>
      <c r="BI140" s="111">
        <f>IF($U$140="nulová",$N$140,0)</f>
        <v>0</v>
      </c>
      <c r="BJ140" s="6" t="s">
        <v>18</v>
      </c>
      <c r="BK140" s="112">
        <f>ROUND($L$140*$K$140,3)</f>
        <v>0</v>
      </c>
      <c r="BL140" s="6" t="s">
        <v>120</v>
      </c>
    </row>
    <row r="141" spans="2:65" s="6" customFormat="1" ht="27" customHeight="1" x14ac:dyDescent="0.3">
      <c r="B141" s="19"/>
      <c r="C141" s="104" t="s">
        <v>139</v>
      </c>
      <c r="D141" s="104" t="s">
        <v>116</v>
      </c>
      <c r="E141" s="105" t="s">
        <v>140</v>
      </c>
      <c r="F141" s="286" t="s">
        <v>141</v>
      </c>
      <c r="G141" s="285"/>
      <c r="H141" s="285"/>
      <c r="I141" s="285"/>
      <c r="J141" s="106" t="s">
        <v>119</v>
      </c>
      <c r="K141" s="107">
        <f>K133</f>
        <v>224.82300000000001</v>
      </c>
      <c r="L141" s="287"/>
      <c r="M141" s="285"/>
      <c r="N141" s="287">
        <f>K141*L141</f>
        <v>0</v>
      </c>
      <c r="O141" s="285"/>
      <c r="P141" s="285"/>
      <c r="Q141" s="285"/>
      <c r="R141" s="20"/>
      <c r="T141" s="108"/>
      <c r="U141" s="26" t="s">
        <v>37</v>
      </c>
      <c r="V141" s="109">
        <v>0</v>
      </c>
      <c r="W141" s="109">
        <f>$V$141*$K$141</f>
        <v>0</v>
      </c>
      <c r="X141" s="109">
        <v>0</v>
      </c>
      <c r="Y141" s="109">
        <f>$X$141*$K$141</f>
        <v>0</v>
      </c>
      <c r="Z141" s="109">
        <v>0</v>
      </c>
      <c r="AA141" s="110">
        <f>$Z$141*$K$141</f>
        <v>0</v>
      </c>
      <c r="AC141" s="138"/>
      <c r="AD141" s="138"/>
      <c r="AE141" s="138"/>
      <c r="AF141" s="138"/>
      <c r="AG141" s="138"/>
      <c r="AH141" s="138"/>
      <c r="AI141" s="138"/>
      <c r="AJ141" s="138"/>
      <c r="AR141" s="6" t="s">
        <v>120</v>
      </c>
      <c r="AT141" s="6" t="s">
        <v>116</v>
      </c>
      <c r="AU141" s="6" t="s">
        <v>82</v>
      </c>
      <c r="AY141" s="6" t="s">
        <v>115</v>
      </c>
      <c r="BE141" s="111">
        <f>IF($U$141="základní",$N$141,0)</f>
        <v>0</v>
      </c>
      <c r="BF141" s="111">
        <f>IF($U$141="snížená",$N$141,0)</f>
        <v>0</v>
      </c>
      <c r="BG141" s="111">
        <f>IF($U$141="zákl. přenesená",$N$141,0)</f>
        <v>0</v>
      </c>
      <c r="BH141" s="111">
        <f>IF($U$141="sníž. přenesená",$N$141,0)</f>
        <v>0</v>
      </c>
      <c r="BI141" s="111">
        <f>IF($U$141="nulová",$N$141,0)</f>
        <v>0</v>
      </c>
      <c r="BJ141" s="6" t="s">
        <v>18</v>
      </c>
      <c r="BK141" s="112">
        <f>ROUND($L$141*$K$141,3)</f>
        <v>0</v>
      </c>
      <c r="BL141" s="6" t="s">
        <v>120</v>
      </c>
    </row>
    <row r="142" spans="2:65" s="94" customFormat="1" ht="30.75" customHeight="1" x14ac:dyDescent="0.3">
      <c r="B142" s="95"/>
      <c r="D142" s="103" t="s">
        <v>91</v>
      </c>
      <c r="N142" s="300">
        <f>SUM(N143:Q155)</f>
        <v>0</v>
      </c>
      <c r="O142" s="301"/>
      <c r="P142" s="301"/>
      <c r="Q142" s="301"/>
      <c r="R142" s="98"/>
      <c r="T142" s="99"/>
      <c r="W142" s="100">
        <f>SUM($W$143:$W$155)</f>
        <v>827.43801999999994</v>
      </c>
      <c r="Y142" s="100">
        <f>SUM($Y$143:$Y$155)</f>
        <v>1.2493500000000001E-2</v>
      </c>
      <c r="AA142" s="101">
        <f>SUM($AA$143:$AA$155)</f>
        <v>1655.4261499999998</v>
      </c>
      <c r="AC142" s="141"/>
      <c r="AD142" s="140"/>
      <c r="AE142" s="140"/>
      <c r="AF142" s="140"/>
      <c r="AG142" s="140"/>
      <c r="AH142" s="140"/>
      <c r="AI142" s="140"/>
      <c r="AJ142" s="140"/>
      <c r="AR142" s="97" t="s">
        <v>18</v>
      </c>
      <c r="AT142" s="97" t="s">
        <v>71</v>
      </c>
      <c r="AU142" s="97" t="s">
        <v>18</v>
      </c>
      <c r="AY142" s="97" t="s">
        <v>115</v>
      </c>
      <c r="BK142" s="102">
        <f>SUM($BK$143:$BK$155)</f>
        <v>0</v>
      </c>
    </row>
    <row r="143" spans="2:65" s="6" customFormat="1" ht="27" customHeight="1" x14ac:dyDescent="0.3">
      <c r="B143" s="19"/>
      <c r="C143" s="104" t="s">
        <v>142</v>
      </c>
      <c r="D143" s="104" t="s">
        <v>116</v>
      </c>
      <c r="E143" s="105" t="s">
        <v>143</v>
      </c>
      <c r="F143" s="286" t="s">
        <v>302</v>
      </c>
      <c r="G143" s="285"/>
      <c r="H143" s="285"/>
      <c r="I143" s="285"/>
      <c r="J143" s="106" t="s">
        <v>135</v>
      </c>
      <c r="K143" s="107">
        <v>87.6</v>
      </c>
      <c r="L143" s="287"/>
      <c r="M143" s="285"/>
      <c r="N143" s="287">
        <f t="shared" ref="N143:N150" si="0">K143*L143</f>
        <v>0</v>
      </c>
      <c r="O143" s="285"/>
      <c r="P143" s="285"/>
      <c r="Q143" s="285"/>
      <c r="R143" s="20"/>
      <c r="T143" s="108"/>
      <c r="U143" s="26" t="s">
        <v>37</v>
      </c>
      <c r="V143" s="109">
        <v>5.7000000000000002E-2</v>
      </c>
      <c r="W143" s="109">
        <f>$V$143*$K$143</f>
        <v>4.9931999999999999</v>
      </c>
      <c r="X143" s="109">
        <v>0</v>
      </c>
      <c r="Y143" s="109">
        <f>$X$143*$K$143</f>
        <v>0</v>
      </c>
      <c r="Z143" s="109">
        <v>9.8000000000000004E-2</v>
      </c>
      <c r="AA143" s="110">
        <f>$Z$143*$K$143</f>
        <v>8.5847999999999995</v>
      </c>
      <c r="AC143" s="146"/>
      <c r="AD143" s="138"/>
      <c r="AE143" s="138"/>
      <c r="AF143" s="138"/>
      <c r="AG143" s="138"/>
      <c r="AH143" s="138"/>
      <c r="AI143" s="138"/>
      <c r="AJ143" s="138"/>
      <c r="AR143" s="6" t="s">
        <v>120</v>
      </c>
      <c r="AT143" s="6" t="s">
        <v>116</v>
      </c>
      <c r="AU143" s="6" t="s">
        <v>82</v>
      </c>
      <c r="AY143" s="6" t="s">
        <v>115</v>
      </c>
      <c r="BE143" s="111">
        <f>IF($U$143="základní",$N$143,0)</f>
        <v>0</v>
      </c>
      <c r="BF143" s="111">
        <f>IF($U$143="snížená",$N$143,0)</f>
        <v>0</v>
      </c>
      <c r="BG143" s="111">
        <f>IF($U$143="zákl. přenesená",$N$143,0)</f>
        <v>0</v>
      </c>
      <c r="BH143" s="111">
        <f>IF($U$143="sníž. přenesená",$N$143,0)</f>
        <v>0</v>
      </c>
      <c r="BI143" s="111">
        <f>IF($U$143="nulová",$N$143,0)</f>
        <v>0</v>
      </c>
      <c r="BJ143" s="6" t="s">
        <v>18</v>
      </c>
      <c r="BK143" s="112">
        <f>ROUND($L$143*$K$143,3)</f>
        <v>0</v>
      </c>
      <c r="BL143" s="6" t="s">
        <v>120</v>
      </c>
    </row>
    <row r="144" spans="2:65" s="167" customFormat="1" ht="28.9" customHeight="1" x14ac:dyDescent="0.3">
      <c r="B144" s="168"/>
      <c r="C144" s="169">
        <v>10</v>
      </c>
      <c r="D144" s="169" t="s">
        <v>116</v>
      </c>
      <c r="E144" s="170" t="s">
        <v>299</v>
      </c>
      <c r="F144" s="297" t="s">
        <v>300</v>
      </c>
      <c r="G144" s="297"/>
      <c r="H144" s="297"/>
      <c r="I144" s="297"/>
      <c r="J144" s="171" t="s">
        <v>135</v>
      </c>
      <c r="K144" s="172">
        <f>K143+K148+K149</f>
        <v>745.99</v>
      </c>
      <c r="L144" s="298"/>
      <c r="M144" s="298"/>
      <c r="N144" s="287">
        <f t="shared" si="0"/>
        <v>0</v>
      </c>
      <c r="O144" s="285"/>
      <c r="P144" s="285"/>
      <c r="Q144" s="285"/>
      <c r="R144" s="173"/>
      <c r="T144" s="174" t="s">
        <v>293</v>
      </c>
      <c r="U144" s="175" t="s">
        <v>37</v>
      </c>
      <c r="V144" s="176">
        <v>7.2999999999999995E-2</v>
      </c>
      <c r="W144" s="176">
        <f t="shared" ref="W144" si="1">V144*K144</f>
        <v>54.457269999999994</v>
      </c>
      <c r="X144" s="176">
        <v>0</v>
      </c>
      <c r="Y144" s="176">
        <f t="shared" ref="Y144" si="2">X144*K144</f>
        <v>0</v>
      </c>
      <c r="Z144" s="176">
        <v>0.23499999999999999</v>
      </c>
      <c r="AA144" s="177">
        <f t="shared" ref="AA144" si="3">Z144*K144</f>
        <v>175.30765</v>
      </c>
      <c r="AR144" s="178" t="s">
        <v>120</v>
      </c>
      <c r="AT144" s="178" t="s">
        <v>116</v>
      </c>
      <c r="AU144" s="178" t="s">
        <v>82</v>
      </c>
      <c r="AY144" s="178" t="s">
        <v>115</v>
      </c>
      <c r="BE144" s="179">
        <f t="shared" ref="BE144" si="4">IF(U144="základní",N144,0)</f>
        <v>0</v>
      </c>
      <c r="BF144" s="179">
        <f t="shared" ref="BF144" si="5">IF(U144="snížená",N144,0)</f>
        <v>0</v>
      </c>
      <c r="BG144" s="179">
        <f t="shared" ref="BG144" si="6">IF(U144="zákl. přenesená",N144,0)</f>
        <v>0</v>
      </c>
      <c r="BH144" s="179">
        <f t="shared" ref="BH144" si="7">IF(U144="sníž. přenesená",N144,0)</f>
        <v>0</v>
      </c>
      <c r="BI144" s="179">
        <f t="shared" ref="BI144" si="8">IF(U144="nulová",N144,0)</f>
        <v>0</v>
      </c>
      <c r="BJ144" s="178" t="s">
        <v>18</v>
      </c>
      <c r="BK144" s="180">
        <f t="shared" ref="BK144" si="9">ROUND(L144*K144,3)</f>
        <v>0</v>
      </c>
      <c r="BL144" s="178" t="s">
        <v>120</v>
      </c>
      <c r="BM144" s="178" t="s">
        <v>301</v>
      </c>
    </row>
    <row r="145" spans="2:65" s="6" customFormat="1" ht="27" customHeight="1" x14ac:dyDescent="0.3">
      <c r="B145" s="19"/>
      <c r="C145" s="104">
        <v>11</v>
      </c>
      <c r="D145" s="104" t="s">
        <v>116</v>
      </c>
      <c r="E145" s="181" t="s">
        <v>144</v>
      </c>
      <c r="F145" s="335" t="s">
        <v>298</v>
      </c>
      <c r="G145" s="336"/>
      <c r="H145" s="336"/>
      <c r="I145" s="337"/>
      <c r="J145" s="106" t="s">
        <v>135</v>
      </c>
      <c r="K145" s="107">
        <v>1247.29</v>
      </c>
      <c r="L145" s="287"/>
      <c r="M145" s="285"/>
      <c r="N145" s="287">
        <f t="shared" si="0"/>
        <v>0</v>
      </c>
      <c r="O145" s="285"/>
      <c r="P145" s="285"/>
      <c r="Q145" s="285"/>
      <c r="R145" s="20"/>
      <c r="T145" s="108"/>
      <c r="U145" s="26" t="s">
        <v>37</v>
      </c>
      <c r="V145" s="109">
        <v>7.8E-2</v>
      </c>
      <c r="W145" s="109">
        <f>$V$145*$K$145</f>
        <v>97.288619999999995</v>
      </c>
      <c r="X145" s="109">
        <v>0</v>
      </c>
      <c r="Y145" s="109">
        <f>$X$145*$K$145</f>
        <v>0</v>
      </c>
      <c r="Z145" s="109">
        <v>0.18099999999999999</v>
      </c>
      <c r="AA145" s="110">
        <f>$Z$145*$K$145</f>
        <v>225.75949</v>
      </c>
      <c r="AC145" s="144"/>
      <c r="AD145" s="145"/>
      <c r="AE145" s="138"/>
      <c r="AF145" s="138"/>
      <c r="AG145" s="138"/>
      <c r="AH145" s="138"/>
      <c r="AI145" s="138"/>
      <c r="AJ145" s="138"/>
      <c r="AR145" s="6" t="s">
        <v>120</v>
      </c>
      <c r="AT145" s="6" t="s">
        <v>116</v>
      </c>
      <c r="AU145" s="6" t="s">
        <v>82</v>
      </c>
      <c r="AY145" s="6" t="s">
        <v>115</v>
      </c>
      <c r="BE145" s="111">
        <f>IF($U$145="základní",$N$145,0)</f>
        <v>0</v>
      </c>
      <c r="BF145" s="111">
        <f>IF($U$145="snížená",$N$145,0)</f>
        <v>0</v>
      </c>
      <c r="BG145" s="111">
        <f>IF($U$145="zákl. přenesená",$N$145,0)</f>
        <v>0</v>
      </c>
      <c r="BH145" s="111">
        <f>IF($U$145="sníž. přenesená",$N$145,0)</f>
        <v>0</v>
      </c>
      <c r="BI145" s="111">
        <f>IF($U$145="nulová",$N$145,0)</f>
        <v>0</v>
      </c>
      <c r="BJ145" s="6" t="s">
        <v>18</v>
      </c>
      <c r="BK145" s="112">
        <f>ROUND($L$145*$K$145,3)</f>
        <v>0</v>
      </c>
      <c r="BL145" s="6" t="s">
        <v>120</v>
      </c>
    </row>
    <row r="146" spans="2:65" s="167" customFormat="1" ht="28.9" customHeight="1" x14ac:dyDescent="0.3">
      <c r="B146" s="168"/>
      <c r="C146" s="169">
        <v>12</v>
      </c>
      <c r="D146" s="169" t="s">
        <v>116</v>
      </c>
      <c r="E146" s="170" t="s">
        <v>291</v>
      </c>
      <c r="F146" s="297" t="s">
        <v>292</v>
      </c>
      <c r="G146" s="297"/>
      <c r="H146" s="297"/>
      <c r="I146" s="297"/>
      <c r="J146" s="171" t="s">
        <v>135</v>
      </c>
      <c r="K146" s="172">
        <v>249.87</v>
      </c>
      <c r="L146" s="298"/>
      <c r="M146" s="298"/>
      <c r="N146" s="287">
        <f t="shared" si="0"/>
        <v>0</v>
      </c>
      <c r="O146" s="285"/>
      <c r="P146" s="285"/>
      <c r="Q146" s="285"/>
      <c r="R146" s="173"/>
      <c r="T146" s="174" t="s">
        <v>293</v>
      </c>
      <c r="U146" s="175" t="s">
        <v>37</v>
      </c>
      <c r="V146" s="176">
        <v>2.8000000000000001E-2</v>
      </c>
      <c r="W146" s="176">
        <f t="shared" ref="W146:W147" si="10">V146*K146</f>
        <v>6.9963600000000001</v>
      </c>
      <c r="X146" s="176">
        <v>5.0000000000000002E-5</v>
      </c>
      <c r="Y146" s="176">
        <f t="shared" ref="Y146:Y147" si="11">X146*K146</f>
        <v>1.2493500000000001E-2</v>
      </c>
      <c r="Z146" s="176">
        <v>0.128</v>
      </c>
      <c r="AA146" s="177">
        <f t="shared" ref="AA146:AA147" si="12">Z146*K146</f>
        <v>31.983360000000001</v>
      </c>
      <c r="AR146" s="178" t="s">
        <v>120</v>
      </c>
      <c r="AT146" s="178" t="s">
        <v>116</v>
      </c>
      <c r="AU146" s="178" t="s">
        <v>82</v>
      </c>
      <c r="AY146" s="178" t="s">
        <v>115</v>
      </c>
      <c r="BE146" s="179">
        <f t="shared" ref="BE146:BE147" si="13">IF(U146="základní",N146,0)</f>
        <v>0</v>
      </c>
      <c r="BF146" s="179">
        <f t="shared" ref="BF146:BF147" si="14">IF(U146="snížená",N146,0)</f>
        <v>0</v>
      </c>
      <c r="BG146" s="179">
        <f t="shared" ref="BG146:BG147" si="15">IF(U146="zákl. přenesená",N146,0)</f>
        <v>0</v>
      </c>
      <c r="BH146" s="179">
        <f t="shared" ref="BH146:BH147" si="16">IF(U146="sníž. přenesená",N146,0)</f>
        <v>0</v>
      </c>
      <c r="BI146" s="179">
        <f t="shared" ref="BI146:BI147" si="17">IF(U146="nulová",N146,0)</f>
        <v>0</v>
      </c>
      <c r="BJ146" s="178" t="s">
        <v>18</v>
      </c>
      <c r="BK146" s="180">
        <f t="shared" ref="BK146:BK147" si="18">ROUND(L146*K146,3)</f>
        <v>0</v>
      </c>
      <c r="BL146" s="178" t="s">
        <v>120</v>
      </c>
      <c r="BM146" s="178" t="s">
        <v>294</v>
      </c>
    </row>
    <row r="147" spans="2:65" s="167" customFormat="1" ht="28.9" customHeight="1" x14ac:dyDescent="0.3">
      <c r="B147" s="168"/>
      <c r="C147" s="104">
        <v>13</v>
      </c>
      <c r="D147" s="169" t="s">
        <v>116</v>
      </c>
      <c r="E147" s="170" t="s">
        <v>295</v>
      </c>
      <c r="F147" s="297" t="s">
        <v>296</v>
      </c>
      <c r="G147" s="297"/>
      <c r="H147" s="297"/>
      <c r="I147" s="297"/>
      <c r="J147" s="171" t="s">
        <v>135</v>
      </c>
      <c r="K147" s="172">
        <f>K145+K146</f>
        <v>1497.1599999999999</v>
      </c>
      <c r="L147" s="298"/>
      <c r="M147" s="298"/>
      <c r="N147" s="287">
        <f t="shared" si="0"/>
        <v>0</v>
      </c>
      <c r="O147" s="285"/>
      <c r="P147" s="285"/>
      <c r="Q147" s="285"/>
      <c r="R147" s="173"/>
      <c r="T147" s="174" t="s">
        <v>293</v>
      </c>
      <c r="U147" s="175" t="s">
        <v>37</v>
      </c>
      <c r="V147" s="176">
        <v>0.14399999999999999</v>
      </c>
      <c r="W147" s="176">
        <f t="shared" si="10"/>
        <v>215.59103999999996</v>
      </c>
      <c r="X147" s="176">
        <v>0</v>
      </c>
      <c r="Y147" s="176">
        <f t="shared" si="11"/>
        <v>0</v>
      </c>
      <c r="Z147" s="176">
        <v>0.62</v>
      </c>
      <c r="AA147" s="177">
        <f t="shared" si="12"/>
        <v>928.23919999999987</v>
      </c>
      <c r="AR147" s="178" t="s">
        <v>120</v>
      </c>
      <c r="AT147" s="178" t="s">
        <v>116</v>
      </c>
      <c r="AU147" s="178" t="s">
        <v>82</v>
      </c>
      <c r="AY147" s="178" t="s">
        <v>115</v>
      </c>
      <c r="BE147" s="179">
        <f t="shared" si="13"/>
        <v>0</v>
      </c>
      <c r="BF147" s="179">
        <f t="shared" si="14"/>
        <v>0</v>
      </c>
      <c r="BG147" s="179">
        <f t="shared" si="15"/>
        <v>0</v>
      </c>
      <c r="BH147" s="179">
        <f t="shared" si="16"/>
        <v>0</v>
      </c>
      <c r="BI147" s="179">
        <f t="shared" si="17"/>
        <v>0</v>
      </c>
      <c r="BJ147" s="178" t="s">
        <v>18</v>
      </c>
      <c r="BK147" s="180">
        <f t="shared" si="18"/>
        <v>0</v>
      </c>
      <c r="BL147" s="178" t="s">
        <v>120</v>
      </c>
      <c r="BM147" s="178" t="s">
        <v>297</v>
      </c>
    </row>
    <row r="148" spans="2:65" s="6" customFormat="1" ht="15.75" customHeight="1" x14ac:dyDescent="0.3">
      <c r="B148" s="19"/>
      <c r="C148" s="169">
        <v>14</v>
      </c>
      <c r="D148" s="104" t="s">
        <v>116</v>
      </c>
      <c r="E148" s="105" t="s">
        <v>144</v>
      </c>
      <c r="F148" s="286" t="s">
        <v>145</v>
      </c>
      <c r="G148" s="285"/>
      <c r="H148" s="285"/>
      <c r="I148" s="285"/>
      <c r="J148" s="106" t="s">
        <v>135</v>
      </c>
      <c r="K148" s="107">
        <v>651.29999999999995</v>
      </c>
      <c r="L148" s="287"/>
      <c r="M148" s="285"/>
      <c r="N148" s="287">
        <f t="shared" si="0"/>
        <v>0</v>
      </c>
      <c r="O148" s="285"/>
      <c r="P148" s="285"/>
      <c r="Q148" s="285"/>
      <c r="R148" s="20"/>
      <c r="T148" s="108"/>
      <c r="U148" s="26" t="s">
        <v>37</v>
      </c>
      <c r="V148" s="109">
        <v>0.23</v>
      </c>
      <c r="W148" s="109">
        <f>$V$148*$K$148</f>
        <v>149.79900000000001</v>
      </c>
      <c r="X148" s="109">
        <v>0</v>
      </c>
      <c r="Y148" s="109">
        <f>$X$148*$K$148</f>
        <v>0</v>
      </c>
      <c r="Z148" s="109">
        <v>0.28100000000000003</v>
      </c>
      <c r="AA148" s="110">
        <f>$Z$148*$K$148</f>
        <v>183.0153</v>
      </c>
      <c r="AC148" s="138"/>
      <c r="AD148" s="138"/>
      <c r="AE148" s="138"/>
      <c r="AF148" s="138"/>
      <c r="AG148" s="138"/>
      <c r="AH148" s="138"/>
      <c r="AI148" s="138"/>
      <c r="AJ148" s="138"/>
      <c r="AR148" s="6" t="s">
        <v>120</v>
      </c>
      <c r="AT148" s="6" t="s">
        <v>116</v>
      </c>
      <c r="AU148" s="6" t="s">
        <v>82</v>
      </c>
      <c r="AY148" s="6" t="s">
        <v>115</v>
      </c>
      <c r="BE148" s="111">
        <f>IF($U$148="základní",$N$148,0)</f>
        <v>0</v>
      </c>
      <c r="BF148" s="111">
        <f>IF($U$148="snížená",$N$148,0)</f>
        <v>0</v>
      </c>
      <c r="BG148" s="111">
        <f>IF($U$148="zákl. přenesená",$N$148,0)</f>
        <v>0</v>
      </c>
      <c r="BH148" s="111">
        <f>IF($U$148="sníž. přenesená",$N$148,0)</f>
        <v>0</v>
      </c>
      <c r="BI148" s="111">
        <f>IF($U$148="nulová",$N$148,0)</f>
        <v>0</v>
      </c>
      <c r="BJ148" s="6" t="s">
        <v>18</v>
      </c>
      <c r="BK148" s="112">
        <f>ROUND($L$148*$K$148,3)</f>
        <v>0</v>
      </c>
      <c r="BL148" s="6" t="s">
        <v>120</v>
      </c>
    </row>
    <row r="149" spans="2:65" s="6" customFormat="1" ht="27" customHeight="1" x14ac:dyDescent="0.3">
      <c r="B149" s="19"/>
      <c r="C149" s="104">
        <v>15</v>
      </c>
      <c r="D149" s="104" t="s">
        <v>116</v>
      </c>
      <c r="E149" s="105" t="s">
        <v>146</v>
      </c>
      <c r="F149" s="286" t="s">
        <v>147</v>
      </c>
      <c r="G149" s="285"/>
      <c r="H149" s="285"/>
      <c r="I149" s="285"/>
      <c r="J149" s="106" t="s">
        <v>135</v>
      </c>
      <c r="K149" s="107">
        <v>7.09</v>
      </c>
      <c r="L149" s="287"/>
      <c r="M149" s="285"/>
      <c r="N149" s="287">
        <f t="shared" si="0"/>
        <v>0</v>
      </c>
      <c r="O149" s="285"/>
      <c r="P149" s="285"/>
      <c r="Q149" s="285"/>
      <c r="R149" s="20"/>
      <c r="T149" s="108"/>
      <c r="U149" s="26" t="s">
        <v>37</v>
      </c>
      <c r="V149" s="109">
        <v>0.16</v>
      </c>
      <c r="W149" s="109">
        <f>$V$149*$K$149</f>
        <v>1.1344000000000001</v>
      </c>
      <c r="X149" s="109">
        <v>0</v>
      </c>
      <c r="Y149" s="109">
        <f>$X$149*$K$149</f>
        <v>0</v>
      </c>
      <c r="Z149" s="109">
        <v>0.255</v>
      </c>
      <c r="AA149" s="110">
        <f>$Z$149*$K$149</f>
        <v>1.8079499999999999</v>
      </c>
      <c r="AC149" s="138"/>
      <c r="AD149" s="138"/>
      <c r="AE149" s="138"/>
      <c r="AF149" s="138"/>
      <c r="AG149" s="138"/>
      <c r="AH149" s="138"/>
      <c r="AI149" s="138"/>
      <c r="AJ149" s="138"/>
      <c r="AR149" s="6" t="s">
        <v>120</v>
      </c>
      <c r="AT149" s="6" t="s">
        <v>116</v>
      </c>
      <c r="AU149" s="6" t="s">
        <v>82</v>
      </c>
      <c r="AY149" s="6" t="s">
        <v>115</v>
      </c>
      <c r="BE149" s="111">
        <f>IF($U$149="základní",$N$149,0)</f>
        <v>0</v>
      </c>
      <c r="BF149" s="111">
        <f>IF($U$149="snížená",$N$149,0)</f>
        <v>0</v>
      </c>
      <c r="BG149" s="111">
        <f>IF($U$149="zákl. přenesená",$N$149,0)</f>
        <v>0</v>
      </c>
      <c r="BH149" s="111">
        <f>IF($U$149="sníž. přenesená",$N$149,0)</f>
        <v>0</v>
      </c>
      <c r="BI149" s="111">
        <f>IF($U$149="nulová",$N$149,0)</f>
        <v>0</v>
      </c>
      <c r="BJ149" s="6" t="s">
        <v>18</v>
      </c>
      <c r="BK149" s="112">
        <f>ROUND($L$149*$K$149,3)</f>
        <v>0</v>
      </c>
      <c r="BL149" s="6" t="s">
        <v>120</v>
      </c>
    </row>
    <row r="150" spans="2:65" s="6" customFormat="1" ht="15.75" customHeight="1" x14ac:dyDescent="0.3">
      <c r="B150" s="19"/>
      <c r="C150" s="169">
        <v>16</v>
      </c>
      <c r="D150" s="104" t="s">
        <v>116</v>
      </c>
      <c r="E150" s="105" t="s">
        <v>148</v>
      </c>
      <c r="F150" s="286" t="s">
        <v>149</v>
      </c>
      <c r="G150" s="285"/>
      <c r="H150" s="285"/>
      <c r="I150" s="285"/>
      <c r="J150" s="106" t="s">
        <v>150</v>
      </c>
      <c r="K150" s="107">
        <f>151.38+153.7</f>
        <v>305.08</v>
      </c>
      <c r="L150" s="287"/>
      <c r="M150" s="285"/>
      <c r="N150" s="287">
        <f t="shared" si="0"/>
        <v>0</v>
      </c>
      <c r="O150" s="285"/>
      <c r="P150" s="285"/>
      <c r="Q150" s="285"/>
      <c r="R150" s="20"/>
      <c r="T150" s="108"/>
      <c r="U150" s="26" t="s">
        <v>37</v>
      </c>
      <c r="V150" s="109">
        <v>0.27200000000000002</v>
      </c>
      <c r="W150" s="109">
        <f>$V$150*$K$150</f>
        <v>82.981760000000008</v>
      </c>
      <c r="X150" s="109">
        <v>0</v>
      </c>
      <c r="Y150" s="109">
        <f>$X$150*$K$150</f>
        <v>0</v>
      </c>
      <c r="Z150" s="109">
        <v>0.28999999999999998</v>
      </c>
      <c r="AA150" s="110">
        <f>$Z$150*$K$150</f>
        <v>88.473199999999991</v>
      </c>
      <c r="AC150" s="138"/>
      <c r="AD150" s="138"/>
      <c r="AE150" s="138"/>
      <c r="AF150" s="138"/>
      <c r="AG150" s="138"/>
      <c r="AH150" s="138"/>
      <c r="AI150" s="138"/>
      <c r="AJ150" s="138"/>
      <c r="AR150" s="6" t="s">
        <v>120</v>
      </c>
      <c r="AT150" s="6" t="s">
        <v>116</v>
      </c>
      <c r="AU150" s="6" t="s">
        <v>82</v>
      </c>
      <c r="AY150" s="6" t="s">
        <v>115</v>
      </c>
      <c r="BE150" s="111">
        <f>IF($U$150="základní",$N$150,0)</f>
        <v>0</v>
      </c>
      <c r="BF150" s="111">
        <f>IF($U$150="snížená",$N$150,0)</f>
        <v>0</v>
      </c>
      <c r="BG150" s="111">
        <f>IF($U$150="zákl. přenesená",$N$150,0)</f>
        <v>0</v>
      </c>
      <c r="BH150" s="111">
        <f>IF($U$150="sníž. přenesená",$N$150,0)</f>
        <v>0</v>
      </c>
      <c r="BI150" s="111">
        <f>IF($U$150="nulová",$N$150,0)</f>
        <v>0</v>
      </c>
      <c r="BJ150" s="6" t="s">
        <v>18</v>
      </c>
      <c r="BK150" s="112">
        <f>ROUND($L$150*$K$150,3)</f>
        <v>0</v>
      </c>
      <c r="BL150" s="6" t="s">
        <v>120</v>
      </c>
    </row>
    <row r="151" spans="2:65" s="6" customFormat="1" ht="15.75" customHeight="1" x14ac:dyDescent="0.3">
      <c r="B151" s="19"/>
      <c r="C151" s="104">
        <v>17</v>
      </c>
      <c r="D151" s="104" t="s">
        <v>116</v>
      </c>
      <c r="E151" s="105" t="s">
        <v>151</v>
      </c>
      <c r="F151" s="286" t="s">
        <v>152</v>
      </c>
      <c r="G151" s="285"/>
      <c r="H151" s="285"/>
      <c r="I151" s="285"/>
      <c r="J151" s="106" t="s">
        <v>150</v>
      </c>
      <c r="K151" s="107">
        <f>110.92+165.46</f>
        <v>276.38</v>
      </c>
      <c r="L151" s="287"/>
      <c r="M151" s="285"/>
      <c r="N151" s="287">
        <f t="shared" ref="N151:N152" si="19">K151*L151</f>
        <v>0</v>
      </c>
      <c r="O151" s="285"/>
      <c r="P151" s="285"/>
      <c r="Q151" s="285"/>
      <c r="R151" s="20"/>
      <c r="T151" s="108"/>
      <c r="U151" s="26" t="s">
        <v>37</v>
      </c>
      <c r="V151" s="109">
        <v>9.5000000000000001E-2</v>
      </c>
      <c r="W151" s="109">
        <f>$V$151*$K$151</f>
        <v>26.2561</v>
      </c>
      <c r="X151" s="109">
        <v>0</v>
      </c>
      <c r="Y151" s="109">
        <f>$X$151*$K$151</f>
        <v>0</v>
      </c>
      <c r="Z151" s="109">
        <v>0.04</v>
      </c>
      <c r="AA151" s="110">
        <f>$Z$151*$K$151</f>
        <v>11.055199999999999</v>
      </c>
      <c r="AC151" s="138"/>
      <c r="AD151" s="138"/>
      <c r="AE151" s="138"/>
      <c r="AF151" s="138"/>
      <c r="AG151" s="138"/>
      <c r="AH151" s="138"/>
      <c r="AI151" s="138"/>
      <c r="AJ151" s="138"/>
      <c r="AR151" s="6" t="s">
        <v>120</v>
      </c>
      <c r="AT151" s="6" t="s">
        <v>116</v>
      </c>
      <c r="AU151" s="6" t="s">
        <v>82</v>
      </c>
      <c r="AY151" s="6" t="s">
        <v>115</v>
      </c>
      <c r="BE151" s="111">
        <f>IF($U$151="základní",$N$151,0)</f>
        <v>0</v>
      </c>
      <c r="BF151" s="111">
        <f>IF($U$151="snížená",$N$151,0)</f>
        <v>0</v>
      </c>
      <c r="BG151" s="111">
        <f>IF($U$151="zákl. přenesená",$N$151,0)</f>
        <v>0</v>
      </c>
      <c r="BH151" s="111">
        <f>IF($U$151="sníž. přenesená",$N$151,0)</f>
        <v>0</v>
      </c>
      <c r="BI151" s="111">
        <f>IF($U$151="nulová",$N$151,0)</f>
        <v>0</v>
      </c>
      <c r="BJ151" s="6" t="s">
        <v>18</v>
      </c>
      <c r="BK151" s="112">
        <f>ROUND($L$151*$K$151,3)</f>
        <v>0</v>
      </c>
      <c r="BL151" s="6" t="s">
        <v>120</v>
      </c>
    </row>
    <row r="152" spans="2:65" s="6" customFormat="1" ht="27" customHeight="1" x14ac:dyDescent="0.3">
      <c r="B152" s="19"/>
      <c r="C152" s="169">
        <v>18</v>
      </c>
      <c r="D152" s="104" t="s">
        <v>116</v>
      </c>
      <c r="E152" s="105" t="s">
        <v>153</v>
      </c>
      <c r="F152" s="286" t="s">
        <v>154</v>
      </c>
      <c r="G152" s="285"/>
      <c r="H152" s="285"/>
      <c r="I152" s="285"/>
      <c r="J152" s="106" t="s">
        <v>150</v>
      </c>
      <c r="K152" s="107">
        <f>K153</f>
        <v>305.08</v>
      </c>
      <c r="L152" s="287"/>
      <c r="M152" s="285"/>
      <c r="N152" s="287">
        <f t="shared" si="19"/>
        <v>0</v>
      </c>
      <c r="O152" s="285"/>
      <c r="P152" s="285"/>
      <c r="Q152" s="285"/>
      <c r="R152" s="20"/>
      <c r="T152" s="108"/>
      <c r="U152" s="26" t="s">
        <v>37</v>
      </c>
      <c r="V152" s="109">
        <v>0.124</v>
      </c>
      <c r="W152" s="109">
        <f>$V$152*$K$152</f>
        <v>37.829919999999994</v>
      </c>
      <c r="X152" s="109">
        <v>0</v>
      </c>
      <c r="Y152" s="109">
        <f>$X$152*$K$152</f>
        <v>0</v>
      </c>
      <c r="Z152" s="109">
        <v>0</v>
      </c>
      <c r="AA152" s="110">
        <f>$Z$152*$K$152</f>
        <v>0</v>
      </c>
      <c r="AC152" s="138"/>
      <c r="AD152" s="138"/>
      <c r="AE152" s="138"/>
      <c r="AF152" s="138"/>
      <c r="AG152" s="138"/>
      <c r="AH152" s="138"/>
      <c r="AI152" s="138"/>
      <c r="AJ152" s="138"/>
      <c r="AR152" s="6" t="s">
        <v>120</v>
      </c>
      <c r="AT152" s="6" t="s">
        <v>116</v>
      </c>
      <c r="AU152" s="6" t="s">
        <v>82</v>
      </c>
      <c r="AY152" s="6" t="s">
        <v>115</v>
      </c>
      <c r="BE152" s="111">
        <f>IF($U$152="základní",$N$152,0)</f>
        <v>0</v>
      </c>
      <c r="BF152" s="111">
        <f>IF($U$152="snížená",$N$152,0)</f>
        <v>0</v>
      </c>
      <c r="BG152" s="111">
        <f>IF($U$152="zákl. přenesená",$N$152,0)</f>
        <v>0</v>
      </c>
      <c r="BH152" s="111">
        <f>IF($U$152="sníž. přenesená",$N$152,0)</f>
        <v>0</v>
      </c>
      <c r="BI152" s="111">
        <f>IF($U$152="nulová",$N$152,0)</f>
        <v>0</v>
      </c>
      <c r="BJ152" s="6" t="s">
        <v>18</v>
      </c>
      <c r="BK152" s="112">
        <f>ROUND($L$152*$K$152,3)</f>
        <v>0</v>
      </c>
      <c r="BL152" s="6" t="s">
        <v>120</v>
      </c>
    </row>
    <row r="153" spans="2:65" s="6" customFormat="1" ht="15.75" customHeight="1" x14ac:dyDescent="0.3">
      <c r="B153" s="113"/>
      <c r="E153" s="114"/>
      <c r="F153" s="308" t="s">
        <v>303</v>
      </c>
      <c r="G153" s="309"/>
      <c r="H153" s="309"/>
      <c r="I153" s="309"/>
      <c r="K153" s="115">
        <f>151.38+153.7</f>
        <v>305.08</v>
      </c>
      <c r="R153" s="116"/>
      <c r="T153" s="117"/>
      <c r="AA153" s="118"/>
      <c r="AC153" s="138"/>
      <c r="AD153" s="138"/>
      <c r="AE153" s="138"/>
      <c r="AF153" s="138"/>
      <c r="AG153" s="138"/>
      <c r="AH153" s="138"/>
      <c r="AI153" s="138"/>
      <c r="AJ153" s="138"/>
      <c r="AT153" s="114" t="s">
        <v>128</v>
      </c>
      <c r="AU153" s="114" t="s">
        <v>82</v>
      </c>
      <c r="AV153" s="114" t="s">
        <v>82</v>
      </c>
      <c r="AW153" s="114" t="s">
        <v>88</v>
      </c>
      <c r="AX153" s="114" t="s">
        <v>18</v>
      </c>
      <c r="AY153" s="114" t="s">
        <v>115</v>
      </c>
    </row>
    <row r="154" spans="2:65" s="6" customFormat="1" ht="27" customHeight="1" x14ac:dyDescent="0.3">
      <c r="B154" s="19"/>
      <c r="C154" s="104">
        <v>19</v>
      </c>
      <c r="D154" s="104" t="s">
        <v>116</v>
      </c>
      <c r="E154" s="105" t="s">
        <v>155</v>
      </c>
      <c r="F154" s="286" t="s">
        <v>156</v>
      </c>
      <c r="G154" s="285"/>
      <c r="H154" s="285"/>
      <c r="I154" s="285"/>
      <c r="J154" s="106" t="s">
        <v>135</v>
      </c>
      <c r="K154" s="107">
        <f>K145</f>
        <v>1247.29</v>
      </c>
      <c r="L154" s="287"/>
      <c r="M154" s="285"/>
      <c r="N154" s="287">
        <f>K154*L154</f>
        <v>0</v>
      </c>
      <c r="O154" s="285"/>
      <c r="P154" s="285"/>
      <c r="Q154" s="285"/>
      <c r="R154" s="20"/>
      <c r="T154" s="108"/>
      <c r="U154" s="26" t="s">
        <v>37</v>
      </c>
      <c r="V154" s="109">
        <v>0.115</v>
      </c>
      <c r="W154" s="109">
        <f>$V$154*$K$154</f>
        <v>143.43835000000001</v>
      </c>
      <c r="X154" s="109">
        <v>0</v>
      </c>
      <c r="Y154" s="109">
        <f>$X$154*$K$154</f>
        <v>0</v>
      </c>
      <c r="Z154" s="109">
        <v>0</v>
      </c>
      <c r="AA154" s="110">
        <f>$Z$154*$K$154</f>
        <v>0</v>
      </c>
      <c r="AC154" s="138"/>
      <c r="AD154" s="138"/>
      <c r="AE154" s="138"/>
      <c r="AF154" s="138"/>
      <c r="AG154" s="138"/>
      <c r="AH154" s="138"/>
      <c r="AI154" s="138"/>
      <c r="AJ154" s="138"/>
      <c r="AR154" s="6" t="s">
        <v>120</v>
      </c>
      <c r="AT154" s="6" t="s">
        <v>116</v>
      </c>
      <c r="AU154" s="6" t="s">
        <v>82</v>
      </c>
      <c r="AY154" s="6" t="s">
        <v>115</v>
      </c>
      <c r="BE154" s="111">
        <f>IF($U$154="základní",$N$154,0)</f>
        <v>0</v>
      </c>
      <c r="BF154" s="111">
        <f>IF($U$154="snížená",$N$154,0)</f>
        <v>0</v>
      </c>
      <c r="BG154" s="111">
        <f>IF($U$154="zákl. přenesená",$N$154,0)</f>
        <v>0</v>
      </c>
      <c r="BH154" s="111">
        <f>IF($U$154="sníž. přenesená",$N$154,0)</f>
        <v>0</v>
      </c>
      <c r="BI154" s="111">
        <f>IF($U$154="nulová",$N$154,0)</f>
        <v>0</v>
      </c>
      <c r="BJ154" s="6" t="s">
        <v>18</v>
      </c>
      <c r="BK154" s="112">
        <f>ROUND($L$154*$K$154,3)</f>
        <v>0</v>
      </c>
      <c r="BL154" s="6" t="s">
        <v>120</v>
      </c>
    </row>
    <row r="155" spans="2:65" s="6" customFormat="1" ht="27" customHeight="1" x14ac:dyDescent="0.3">
      <c r="B155" s="19"/>
      <c r="C155" s="104">
        <v>20</v>
      </c>
      <c r="D155" s="104" t="s">
        <v>116</v>
      </c>
      <c r="E155" s="105" t="s">
        <v>157</v>
      </c>
      <c r="F155" s="286" t="s">
        <v>158</v>
      </c>
      <c r="G155" s="285"/>
      <c r="H155" s="285"/>
      <c r="I155" s="285"/>
      <c r="J155" s="106" t="s">
        <v>159</v>
      </c>
      <c r="K155" s="107">
        <v>6</v>
      </c>
      <c r="L155" s="287"/>
      <c r="M155" s="285"/>
      <c r="N155" s="287">
        <f>K155*L155</f>
        <v>0</v>
      </c>
      <c r="O155" s="285"/>
      <c r="P155" s="285"/>
      <c r="Q155" s="285"/>
      <c r="R155" s="20"/>
      <c r="T155" s="108"/>
      <c r="U155" s="26" t="s">
        <v>37</v>
      </c>
      <c r="V155" s="109">
        <v>1.1120000000000001</v>
      </c>
      <c r="W155" s="109">
        <f>$V$155*$K$155</f>
        <v>6.6720000000000006</v>
      </c>
      <c r="X155" s="109">
        <v>0</v>
      </c>
      <c r="Y155" s="109">
        <f>$X$155*$K$155</f>
        <v>0</v>
      </c>
      <c r="Z155" s="109">
        <v>0.2</v>
      </c>
      <c r="AA155" s="110">
        <f>$Z$155*$K$155</f>
        <v>1.2000000000000002</v>
      </c>
      <c r="AC155" s="138"/>
      <c r="AD155" s="138"/>
      <c r="AE155" s="138"/>
      <c r="AF155" s="138"/>
      <c r="AG155" s="138"/>
      <c r="AH155" s="138"/>
      <c r="AI155" s="138"/>
      <c r="AJ155" s="138"/>
      <c r="AR155" s="6" t="s">
        <v>120</v>
      </c>
      <c r="AT155" s="6" t="s">
        <v>116</v>
      </c>
      <c r="AU155" s="6" t="s">
        <v>82</v>
      </c>
      <c r="AY155" s="6" t="s">
        <v>115</v>
      </c>
      <c r="BE155" s="111">
        <f>IF($U$155="základní",$N$155,0)</f>
        <v>0</v>
      </c>
      <c r="BF155" s="111">
        <f>IF($U$155="snížená",$N$155,0)</f>
        <v>0</v>
      </c>
      <c r="BG155" s="111">
        <f>IF($U$155="zákl. přenesená",$N$155,0)</f>
        <v>0</v>
      </c>
      <c r="BH155" s="111">
        <f>IF($U$155="sníž. přenesená",$N$155,0)</f>
        <v>0</v>
      </c>
      <c r="BI155" s="111">
        <f>IF($U$155="nulová",$N$155,0)</f>
        <v>0</v>
      </c>
      <c r="BJ155" s="6" t="s">
        <v>18</v>
      </c>
      <c r="BK155" s="112">
        <f>ROUND($L$155*$K$155,3)</f>
        <v>0</v>
      </c>
      <c r="BL155" s="6" t="s">
        <v>120</v>
      </c>
    </row>
    <row r="156" spans="2:65" s="94" customFormat="1" ht="30.75" customHeight="1" x14ac:dyDescent="0.3">
      <c r="B156" s="95"/>
      <c r="D156" s="103" t="s">
        <v>92</v>
      </c>
      <c r="N156" s="300">
        <f>SUM(N157:Q167)</f>
        <v>0</v>
      </c>
      <c r="O156" s="301"/>
      <c r="P156" s="301"/>
      <c r="Q156" s="301"/>
      <c r="R156" s="98"/>
      <c r="T156" s="99"/>
      <c r="W156" s="100">
        <f>SUM($W$157:$W$170)</f>
        <v>85.153917000000007</v>
      </c>
      <c r="Y156" s="100">
        <f>SUM($Y$157:$Y$170)</f>
        <v>0</v>
      </c>
      <c r="AA156" s="101">
        <f>SUM($AA$157:$AA$170)</f>
        <v>0</v>
      </c>
      <c r="AC156" s="141"/>
      <c r="AD156" s="140"/>
      <c r="AE156" s="140"/>
      <c r="AF156" s="140"/>
      <c r="AG156" s="140"/>
      <c r="AH156" s="140"/>
      <c r="AI156" s="140"/>
      <c r="AJ156" s="140"/>
      <c r="AR156" s="97" t="s">
        <v>18</v>
      </c>
      <c r="AT156" s="97" t="s">
        <v>71</v>
      </c>
      <c r="AU156" s="97" t="s">
        <v>18</v>
      </c>
      <c r="AY156" s="97" t="s">
        <v>115</v>
      </c>
      <c r="BK156" s="102">
        <f>SUM($BK$157:$BK$170)</f>
        <v>0</v>
      </c>
    </row>
    <row r="157" spans="2:65" s="6" customFormat="1" ht="27" customHeight="1" x14ac:dyDescent="0.3">
      <c r="B157" s="19"/>
      <c r="C157" s="104">
        <v>21</v>
      </c>
      <c r="D157" s="104" t="s">
        <v>116</v>
      </c>
      <c r="E157" s="105" t="s">
        <v>160</v>
      </c>
      <c r="F157" s="286" t="s">
        <v>161</v>
      </c>
      <c r="G157" s="285"/>
      <c r="H157" s="285"/>
      <c r="I157" s="285"/>
      <c r="J157" s="106" t="s">
        <v>162</v>
      </c>
      <c r="K157" s="107">
        <v>265.27699999999999</v>
      </c>
      <c r="L157" s="287"/>
      <c r="M157" s="285"/>
      <c r="N157" s="287">
        <f>K157*L157</f>
        <v>0</v>
      </c>
      <c r="O157" s="285"/>
      <c r="P157" s="285"/>
      <c r="Q157" s="285"/>
      <c r="R157" s="20"/>
      <c r="T157" s="108"/>
      <c r="U157" s="26" t="s">
        <v>37</v>
      </c>
      <c r="V157" s="109">
        <v>0.125</v>
      </c>
      <c r="W157" s="109">
        <f>$V$157*$K$157</f>
        <v>33.159624999999998</v>
      </c>
      <c r="X157" s="109">
        <v>0</v>
      </c>
      <c r="Y157" s="109">
        <f>$X$157*$K$157</f>
        <v>0</v>
      </c>
      <c r="Z157" s="109">
        <v>0</v>
      </c>
      <c r="AA157" s="110">
        <f>$Z$157*$K$157</f>
        <v>0</v>
      </c>
      <c r="AC157" s="143"/>
      <c r="AD157" s="138"/>
      <c r="AE157" s="138"/>
      <c r="AF157" s="138"/>
      <c r="AG157" s="138"/>
      <c r="AH157" s="138"/>
      <c r="AI157" s="138"/>
      <c r="AJ157" s="138"/>
      <c r="AR157" s="6" t="s">
        <v>120</v>
      </c>
      <c r="AT157" s="6" t="s">
        <v>116</v>
      </c>
      <c r="AU157" s="6" t="s">
        <v>82</v>
      </c>
      <c r="AY157" s="6" t="s">
        <v>115</v>
      </c>
      <c r="BE157" s="111">
        <f>IF($U$157="základní",$N$157,0)</f>
        <v>0</v>
      </c>
      <c r="BF157" s="111">
        <f>IF($U$157="snížená",$N$157,0)</f>
        <v>0</v>
      </c>
      <c r="BG157" s="111">
        <f>IF($U$157="zákl. přenesená",$N$157,0)</f>
        <v>0</v>
      </c>
      <c r="BH157" s="111">
        <f>IF($U$157="sníž. přenesená",$N$157,0)</f>
        <v>0</v>
      </c>
      <c r="BI157" s="111">
        <f>IF($U$157="nulová",$N$157,0)</f>
        <v>0</v>
      </c>
      <c r="BJ157" s="6" t="s">
        <v>18</v>
      </c>
      <c r="BK157" s="112">
        <f>ROUND($L$157*$K$157,3)</f>
        <v>0</v>
      </c>
      <c r="BL157" s="6" t="s">
        <v>120</v>
      </c>
    </row>
    <row r="158" spans="2:65" s="6" customFormat="1" ht="27" customHeight="1" x14ac:dyDescent="0.3">
      <c r="B158" s="19"/>
      <c r="C158" s="104">
        <v>22</v>
      </c>
      <c r="D158" s="104" t="s">
        <v>116</v>
      </c>
      <c r="E158" s="105" t="s">
        <v>163</v>
      </c>
      <c r="F158" s="286" t="s">
        <v>164</v>
      </c>
      <c r="G158" s="285"/>
      <c r="H158" s="285"/>
      <c r="I158" s="285"/>
      <c r="J158" s="106" t="s">
        <v>162</v>
      </c>
      <c r="K158" s="107">
        <f>K157*10</f>
        <v>2652.77</v>
      </c>
      <c r="L158" s="287"/>
      <c r="M158" s="285"/>
      <c r="N158" s="287">
        <f>K158*L158</f>
        <v>0</v>
      </c>
      <c r="O158" s="285"/>
      <c r="P158" s="285"/>
      <c r="Q158" s="285"/>
      <c r="R158" s="20"/>
      <c r="T158" s="108"/>
      <c r="U158" s="26" t="s">
        <v>37</v>
      </c>
      <c r="V158" s="109">
        <v>6.0000000000000001E-3</v>
      </c>
      <c r="W158" s="109">
        <f>$V$158*$K$158</f>
        <v>15.91662</v>
      </c>
      <c r="X158" s="109">
        <v>0</v>
      </c>
      <c r="Y158" s="109">
        <f>$X$158*$K$158</f>
        <v>0</v>
      </c>
      <c r="Z158" s="109">
        <v>0</v>
      </c>
      <c r="AA158" s="110">
        <f>$Z$158*$K$158</f>
        <v>0</v>
      </c>
      <c r="AC158" s="144"/>
      <c r="AD158" s="143"/>
      <c r="AE158" s="138"/>
      <c r="AF158" s="138"/>
      <c r="AG158" s="138"/>
      <c r="AH158" s="138"/>
      <c r="AI158" s="138"/>
      <c r="AJ158" s="138"/>
      <c r="AR158" s="6" t="s">
        <v>120</v>
      </c>
      <c r="AT158" s="6" t="s">
        <v>116</v>
      </c>
      <c r="AU158" s="6" t="s">
        <v>82</v>
      </c>
      <c r="AY158" s="6" t="s">
        <v>115</v>
      </c>
      <c r="BE158" s="111">
        <f>IF($U$158="základní",$N$158,0)</f>
        <v>0</v>
      </c>
      <c r="BF158" s="111">
        <f>IF($U$158="snížená",$N$158,0)</f>
        <v>0</v>
      </c>
      <c r="BG158" s="111">
        <f>IF($U$158="zákl. přenesená",$N$158,0)</f>
        <v>0</v>
      </c>
      <c r="BH158" s="111">
        <f>IF($U$158="sníž. přenesená",$N$158,0)</f>
        <v>0</v>
      </c>
      <c r="BI158" s="111">
        <f>IF($U$158="nulová",$N$158,0)</f>
        <v>0</v>
      </c>
      <c r="BJ158" s="6" t="s">
        <v>18</v>
      </c>
      <c r="BK158" s="112">
        <f>ROUND($L$158*$K$158,3)</f>
        <v>0</v>
      </c>
      <c r="BL158" s="6" t="s">
        <v>120</v>
      </c>
    </row>
    <row r="159" spans="2:65" s="6" customFormat="1" ht="15.75" customHeight="1" x14ac:dyDescent="0.3">
      <c r="B159" s="19"/>
      <c r="C159" s="104">
        <v>23</v>
      </c>
      <c r="D159" s="104" t="s">
        <v>116</v>
      </c>
      <c r="E159" s="105" t="s">
        <v>165</v>
      </c>
      <c r="F159" s="286" t="s">
        <v>166</v>
      </c>
      <c r="G159" s="285"/>
      <c r="H159" s="285"/>
      <c r="I159" s="285"/>
      <c r="J159" s="106" t="s">
        <v>162</v>
      </c>
      <c r="K159" s="107">
        <f>K157</f>
        <v>265.27699999999999</v>
      </c>
      <c r="L159" s="287"/>
      <c r="M159" s="285"/>
      <c r="N159" s="287">
        <f>K159*L159</f>
        <v>0</v>
      </c>
      <c r="O159" s="285"/>
      <c r="P159" s="285"/>
      <c r="Q159" s="285"/>
      <c r="R159" s="20"/>
      <c r="T159" s="108"/>
      <c r="U159" s="26" t="s">
        <v>37</v>
      </c>
      <c r="V159" s="109">
        <v>0.13600000000000001</v>
      </c>
      <c r="W159" s="109">
        <f>$V$159*$K$159</f>
        <v>36.077672</v>
      </c>
      <c r="X159" s="109">
        <v>0</v>
      </c>
      <c r="Y159" s="109">
        <f>$X$159*$K$159</f>
        <v>0</v>
      </c>
      <c r="Z159" s="109">
        <v>0</v>
      </c>
      <c r="AA159" s="110">
        <f>$Z$159*$K$159</f>
        <v>0</v>
      </c>
      <c r="AC159" s="142"/>
      <c r="AD159" s="138"/>
      <c r="AE159" s="144"/>
      <c r="AF159" s="138"/>
      <c r="AG159" s="138"/>
      <c r="AH159" s="138"/>
      <c r="AI159" s="138"/>
      <c r="AJ159" s="138"/>
      <c r="AR159" s="6" t="s">
        <v>120</v>
      </c>
      <c r="AT159" s="6" t="s">
        <v>116</v>
      </c>
      <c r="AU159" s="6" t="s">
        <v>82</v>
      </c>
      <c r="AY159" s="6" t="s">
        <v>115</v>
      </c>
      <c r="BE159" s="111">
        <f>IF($U$159="základní",$N$159,0)</f>
        <v>0</v>
      </c>
      <c r="BF159" s="111">
        <f>IF($U$159="snížená",$N$159,0)</f>
        <v>0</v>
      </c>
      <c r="BG159" s="111">
        <f>IF($U$159="zákl. přenesená",$N$159,0)</f>
        <v>0</v>
      </c>
      <c r="BH159" s="111">
        <f>IF($U$159="sníž. přenesená",$N$159,0)</f>
        <v>0</v>
      </c>
      <c r="BI159" s="111">
        <f>IF($U$159="nulová",$N$159,0)</f>
        <v>0</v>
      </c>
      <c r="BJ159" s="6" t="s">
        <v>18</v>
      </c>
      <c r="BK159" s="112">
        <f>ROUND($L$159*$K$159,3)</f>
        <v>0</v>
      </c>
      <c r="BL159" s="6" t="s">
        <v>120</v>
      </c>
    </row>
    <row r="160" spans="2:65" s="6" customFormat="1" ht="27" customHeight="1" x14ac:dyDescent="0.3">
      <c r="B160" s="19"/>
      <c r="C160" s="104">
        <v>24</v>
      </c>
      <c r="D160" s="104" t="s">
        <v>116</v>
      </c>
      <c r="E160" s="105" t="s">
        <v>167</v>
      </c>
      <c r="F160" s="286" t="s">
        <v>168</v>
      </c>
      <c r="G160" s="285"/>
      <c r="H160" s="285"/>
      <c r="I160" s="285"/>
      <c r="J160" s="106" t="s">
        <v>162</v>
      </c>
      <c r="K160" s="107">
        <v>265.27699999999999</v>
      </c>
      <c r="L160" s="287"/>
      <c r="M160" s="285"/>
      <c r="N160" s="287">
        <f>K160*L160</f>
        <v>0</v>
      </c>
      <c r="O160" s="285"/>
      <c r="P160" s="285"/>
      <c r="Q160" s="285"/>
      <c r="R160" s="20"/>
      <c r="T160" s="108"/>
      <c r="U160" s="26" t="s">
        <v>37</v>
      </c>
      <c r="V160" s="109">
        <v>0</v>
      </c>
      <c r="W160" s="109">
        <f>$V$160*$K$160</f>
        <v>0</v>
      </c>
      <c r="X160" s="109">
        <v>0</v>
      </c>
      <c r="Y160" s="109">
        <f>$X$160*$K$160</f>
        <v>0</v>
      </c>
      <c r="Z160" s="109">
        <v>0</v>
      </c>
      <c r="AA160" s="110">
        <f>$Z$160*$K$160</f>
        <v>0</v>
      </c>
      <c r="AC160" s="144"/>
      <c r="AD160" s="144"/>
      <c r="AE160" s="144"/>
      <c r="AF160" s="138"/>
      <c r="AG160" s="138"/>
      <c r="AH160" s="138"/>
      <c r="AI160" s="138"/>
      <c r="AJ160" s="138"/>
      <c r="AR160" s="6" t="s">
        <v>120</v>
      </c>
      <c r="AT160" s="6" t="s">
        <v>116</v>
      </c>
      <c r="AU160" s="6" t="s">
        <v>82</v>
      </c>
      <c r="AY160" s="6" t="s">
        <v>115</v>
      </c>
      <c r="BE160" s="111">
        <f>IF($U$160="základní",$N$160,0)</f>
        <v>0</v>
      </c>
      <c r="BF160" s="111">
        <f>IF($U$160="snížená",$N$160,0)</f>
        <v>0</v>
      </c>
      <c r="BG160" s="111">
        <f>IF($U$160="zákl. přenesená",$N$160,0)</f>
        <v>0</v>
      </c>
      <c r="BH160" s="111">
        <f>IF($U$160="sníž. přenesená",$N$160,0)</f>
        <v>0</v>
      </c>
      <c r="BI160" s="111">
        <f>IF($U$160="nulová",$N$160,0)</f>
        <v>0</v>
      </c>
      <c r="BJ160" s="6" t="s">
        <v>18</v>
      </c>
      <c r="BK160" s="112">
        <f>ROUND($L$160*$K$160,3)</f>
        <v>0</v>
      </c>
      <c r="BL160" s="6" t="s">
        <v>120</v>
      </c>
    </row>
    <row r="161" spans="2:64" s="6" customFormat="1" ht="15.75" customHeight="1" x14ac:dyDescent="0.3">
      <c r="B161" s="113"/>
      <c r="E161" s="114"/>
      <c r="F161" s="308" t="s">
        <v>169</v>
      </c>
      <c r="G161" s="309"/>
      <c r="H161" s="309"/>
      <c r="I161" s="309"/>
      <c r="K161" s="115">
        <v>4.4290000000000003</v>
      </c>
      <c r="R161" s="116"/>
      <c r="T161" s="117"/>
      <c r="AA161" s="118"/>
      <c r="AC161" s="138"/>
      <c r="AD161" s="138"/>
      <c r="AE161" s="138"/>
      <c r="AF161" s="138"/>
      <c r="AG161" s="138"/>
      <c r="AH161" s="138"/>
      <c r="AI161" s="138"/>
      <c r="AJ161" s="138"/>
      <c r="AT161" s="114" t="s">
        <v>128</v>
      </c>
      <c r="AU161" s="114" t="s">
        <v>82</v>
      </c>
      <c r="AV161" s="114" t="s">
        <v>82</v>
      </c>
      <c r="AW161" s="114" t="s">
        <v>88</v>
      </c>
      <c r="AX161" s="114" t="s">
        <v>72</v>
      </c>
      <c r="AY161" s="114" t="s">
        <v>115</v>
      </c>
    </row>
    <row r="162" spans="2:64" s="6" customFormat="1" ht="15.75" customHeight="1" x14ac:dyDescent="0.3">
      <c r="B162" s="113"/>
      <c r="E162" s="114"/>
      <c r="F162" s="308" t="s">
        <v>170</v>
      </c>
      <c r="G162" s="309"/>
      <c r="H162" s="309"/>
      <c r="I162" s="309"/>
      <c r="K162" s="115">
        <v>27.667999999999999</v>
      </c>
      <c r="R162" s="116"/>
      <c r="T162" s="117"/>
      <c r="AA162" s="118"/>
      <c r="AC162" s="138"/>
      <c r="AD162" s="138"/>
      <c r="AE162" s="138"/>
      <c r="AF162" s="138"/>
      <c r="AG162" s="138"/>
      <c r="AH162" s="138"/>
      <c r="AI162" s="138"/>
      <c r="AJ162" s="138"/>
      <c r="AT162" s="114" t="s">
        <v>128</v>
      </c>
      <c r="AU162" s="114" t="s">
        <v>82</v>
      </c>
      <c r="AV162" s="114" t="s">
        <v>82</v>
      </c>
      <c r="AW162" s="114" t="s">
        <v>88</v>
      </c>
      <c r="AX162" s="114" t="s">
        <v>72</v>
      </c>
      <c r="AY162" s="114" t="s">
        <v>115</v>
      </c>
    </row>
    <row r="163" spans="2:64" s="6" customFormat="1" ht="15.75" customHeight="1" x14ac:dyDescent="0.3">
      <c r="B163" s="113"/>
      <c r="E163" s="114"/>
      <c r="F163" s="308" t="s">
        <v>171</v>
      </c>
      <c r="G163" s="309"/>
      <c r="H163" s="309"/>
      <c r="I163" s="309"/>
      <c r="K163" s="115">
        <v>228.126</v>
      </c>
      <c r="R163" s="116"/>
      <c r="T163" s="117"/>
      <c r="AA163" s="118"/>
      <c r="AC163" s="138"/>
      <c r="AD163" s="138"/>
      <c r="AE163" s="138"/>
      <c r="AF163" s="138"/>
      <c r="AG163" s="138"/>
      <c r="AH163" s="138"/>
      <c r="AI163" s="138"/>
      <c r="AJ163" s="138"/>
      <c r="AT163" s="114" t="s">
        <v>128</v>
      </c>
      <c r="AU163" s="114" t="s">
        <v>82</v>
      </c>
      <c r="AV163" s="114" t="s">
        <v>82</v>
      </c>
      <c r="AW163" s="114" t="s">
        <v>88</v>
      </c>
      <c r="AX163" s="114" t="s">
        <v>72</v>
      </c>
      <c r="AY163" s="114" t="s">
        <v>115</v>
      </c>
    </row>
    <row r="164" spans="2:64" s="6" customFormat="1" ht="15.75" customHeight="1" x14ac:dyDescent="0.3">
      <c r="B164" s="113"/>
      <c r="E164" s="114"/>
      <c r="F164" s="308" t="s">
        <v>172</v>
      </c>
      <c r="G164" s="309"/>
      <c r="H164" s="309"/>
      <c r="I164" s="309"/>
      <c r="K164" s="115">
        <v>5.0540000000000003</v>
      </c>
      <c r="R164" s="116"/>
      <c r="T164" s="117"/>
      <c r="AA164" s="118"/>
      <c r="AC164" s="138"/>
      <c r="AD164" s="138"/>
      <c r="AE164" s="138"/>
      <c r="AF164" s="138"/>
      <c r="AG164" s="138"/>
      <c r="AH164" s="138"/>
      <c r="AI164" s="138"/>
      <c r="AJ164" s="138"/>
      <c r="AT164" s="114" t="s">
        <v>128</v>
      </c>
      <c r="AU164" s="114" t="s">
        <v>82</v>
      </c>
      <c r="AV164" s="114" t="s">
        <v>82</v>
      </c>
      <c r="AW164" s="114" t="s">
        <v>88</v>
      </c>
      <c r="AX164" s="114" t="s">
        <v>72</v>
      </c>
      <c r="AY164" s="114" t="s">
        <v>115</v>
      </c>
    </row>
    <row r="165" spans="2:64" s="6" customFormat="1" ht="15.75" customHeight="1" x14ac:dyDescent="0.3">
      <c r="B165" s="119"/>
      <c r="E165" s="120"/>
      <c r="F165" s="326" t="s">
        <v>173</v>
      </c>
      <c r="G165" s="327"/>
      <c r="H165" s="327"/>
      <c r="I165" s="327"/>
      <c r="K165" s="121">
        <v>265.27699999999999</v>
      </c>
      <c r="R165" s="122"/>
      <c r="T165" s="123"/>
      <c r="AA165" s="124"/>
      <c r="AC165" s="138"/>
      <c r="AD165" s="138"/>
      <c r="AE165" s="138"/>
      <c r="AF165" s="138"/>
      <c r="AG165" s="138"/>
      <c r="AH165" s="138"/>
      <c r="AI165" s="138"/>
      <c r="AJ165" s="138"/>
      <c r="AT165" s="120" t="s">
        <v>128</v>
      </c>
      <c r="AU165" s="120" t="s">
        <v>82</v>
      </c>
      <c r="AV165" s="120" t="s">
        <v>120</v>
      </c>
      <c r="AW165" s="120" t="s">
        <v>88</v>
      </c>
      <c r="AX165" s="120" t="s">
        <v>18</v>
      </c>
      <c r="AY165" s="120" t="s">
        <v>115</v>
      </c>
    </row>
    <row r="166" spans="2:64" s="6" customFormat="1" ht="27" customHeight="1" x14ac:dyDescent="0.3">
      <c r="B166" s="19"/>
      <c r="C166" s="104">
        <v>25</v>
      </c>
      <c r="D166" s="104" t="s">
        <v>116</v>
      </c>
      <c r="E166" s="105" t="s">
        <v>174</v>
      </c>
      <c r="F166" s="286" t="s">
        <v>175</v>
      </c>
      <c r="G166" s="285"/>
      <c r="H166" s="285"/>
      <c r="I166" s="285"/>
      <c r="J166" s="106" t="s">
        <v>162</v>
      </c>
      <c r="K166" s="107">
        <v>3.8</v>
      </c>
      <c r="L166" s="287"/>
      <c r="M166" s="285"/>
      <c r="N166" s="287">
        <f>K166*L166</f>
        <v>0</v>
      </c>
      <c r="O166" s="285"/>
      <c r="P166" s="285"/>
      <c r="Q166" s="285"/>
      <c r="R166" s="20"/>
      <c r="T166" s="108"/>
      <c r="U166" s="26" t="s">
        <v>37</v>
      </c>
      <c r="V166" s="109">
        <v>0</v>
      </c>
      <c r="W166" s="109">
        <f>$V$166*$K$166</f>
        <v>0</v>
      </c>
      <c r="X166" s="109">
        <v>0</v>
      </c>
      <c r="Y166" s="109">
        <f>$X$166*$K$166</f>
        <v>0</v>
      </c>
      <c r="Z166" s="109">
        <v>0</v>
      </c>
      <c r="AA166" s="110">
        <f>$Z$166*$K$166</f>
        <v>0</v>
      </c>
      <c r="AC166" s="138"/>
      <c r="AD166" s="138"/>
      <c r="AE166" s="138"/>
      <c r="AF166" s="138"/>
      <c r="AG166" s="138"/>
      <c r="AH166" s="138"/>
      <c r="AI166" s="138"/>
      <c r="AJ166" s="138"/>
      <c r="AR166" s="6" t="s">
        <v>120</v>
      </c>
      <c r="AT166" s="6" t="s">
        <v>116</v>
      </c>
      <c r="AU166" s="6" t="s">
        <v>82</v>
      </c>
      <c r="AY166" s="6" t="s">
        <v>115</v>
      </c>
      <c r="BE166" s="111">
        <f>IF($U$166="základní",$N$166,0)</f>
        <v>0</v>
      </c>
      <c r="BF166" s="111">
        <f>IF($U$166="snížená",$N$166,0)</f>
        <v>0</v>
      </c>
      <c r="BG166" s="111">
        <f>IF($U$166="zákl. přenesená",$N$166,0)</f>
        <v>0</v>
      </c>
      <c r="BH166" s="111">
        <f>IF($U$166="sníž. přenesená",$N$166,0)</f>
        <v>0</v>
      </c>
      <c r="BI166" s="111">
        <f>IF($U$166="nulová",$N$166,0)</f>
        <v>0</v>
      </c>
      <c r="BJ166" s="6" t="s">
        <v>18</v>
      </c>
      <c r="BK166" s="112">
        <f>ROUND($L$166*$K$166,3)</f>
        <v>0</v>
      </c>
      <c r="BL166" s="6" t="s">
        <v>120</v>
      </c>
    </row>
    <row r="167" spans="2:64" s="6" customFormat="1" ht="27" customHeight="1" x14ac:dyDescent="0.3">
      <c r="B167" s="19"/>
      <c r="C167" s="104">
        <v>26</v>
      </c>
      <c r="D167" s="104" t="s">
        <v>116</v>
      </c>
      <c r="E167" s="105" t="s">
        <v>176</v>
      </c>
      <c r="F167" s="286" t="s">
        <v>177</v>
      </c>
      <c r="G167" s="285"/>
      <c r="H167" s="285"/>
      <c r="I167" s="285"/>
      <c r="J167" s="106" t="s">
        <v>162</v>
      </c>
      <c r="K167" s="107">
        <f>K170</f>
        <v>92.480999999999995</v>
      </c>
      <c r="L167" s="287"/>
      <c r="M167" s="285"/>
      <c r="N167" s="287">
        <f>K167*L167</f>
        <v>0</v>
      </c>
      <c r="O167" s="285"/>
      <c r="P167" s="285"/>
      <c r="Q167" s="285"/>
      <c r="R167" s="20"/>
      <c r="T167" s="108"/>
      <c r="U167" s="26" t="s">
        <v>37</v>
      </c>
      <c r="V167" s="109">
        <v>0</v>
      </c>
      <c r="W167" s="109">
        <f>$V$167*$K$167</f>
        <v>0</v>
      </c>
      <c r="X167" s="109">
        <v>0</v>
      </c>
      <c r="Y167" s="109">
        <f>$X$167*$K$167</f>
        <v>0</v>
      </c>
      <c r="Z167" s="109">
        <v>0</v>
      </c>
      <c r="AA167" s="110">
        <f>$Z$167*$K$167</f>
        <v>0</v>
      </c>
      <c r="AC167" s="138"/>
      <c r="AD167" s="138"/>
      <c r="AE167" s="138"/>
      <c r="AF167" s="138"/>
      <c r="AG167" s="138"/>
      <c r="AH167" s="138"/>
      <c r="AI167" s="138"/>
      <c r="AJ167" s="138"/>
      <c r="AR167" s="6" t="s">
        <v>120</v>
      </c>
      <c r="AT167" s="6" t="s">
        <v>116</v>
      </c>
      <c r="AU167" s="6" t="s">
        <v>82</v>
      </c>
      <c r="AY167" s="6" t="s">
        <v>115</v>
      </c>
      <c r="BE167" s="111">
        <f>IF($U$167="základní",$N$167,0)</f>
        <v>0</v>
      </c>
      <c r="BF167" s="111">
        <f>IF($U$167="snížená",$N$167,0)</f>
        <v>0</v>
      </c>
      <c r="BG167" s="111">
        <f>IF($U$167="zákl. přenesená",$N$167,0)</f>
        <v>0</v>
      </c>
      <c r="BH167" s="111">
        <f>IF($U$167="sníž. přenesená",$N$167,0)</f>
        <v>0</v>
      </c>
      <c r="BI167" s="111">
        <f>IF($U$167="nulová",$N$167,0)</f>
        <v>0</v>
      </c>
      <c r="BJ167" s="6" t="s">
        <v>18</v>
      </c>
      <c r="BK167" s="112">
        <f>ROUND($L$167*$K$167,3)</f>
        <v>0</v>
      </c>
      <c r="BL167" s="6" t="s">
        <v>120</v>
      </c>
    </row>
    <row r="168" spans="2:64" s="6" customFormat="1" ht="15.75" customHeight="1" x14ac:dyDescent="0.3">
      <c r="B168" s="113"/>
      <c r="E168" s="114"/>
      <c r="F168" s="308" t="s">
        <v>304</v>
      </c>
      <c r="G168" s="309"/>
      <c r="H168" s="309"/>
      <c r="I168" s="309"/>
      <c r="K168" s="115">
        <f>K146*0.15*2</f>
        <v>74.960999999999999</v>
      </c>
      <c r="R168" s="116"/>
      <c r="T168" s="117"/>
      <c r="AA168" s="118"/>
      <c r="AC168" s="138"/>
      <c r="AD168" s="138"/>
      <c r="AE168" s="138"/>
      <c r="AF168" s="138"/>
      <c r="AG168" s="138"/>
      <c r="AH168" s="138"/>
      <c r="AI168" s="138"/>
      <c r="AJ168" s="138"/>
      <c r="AT168" s="114" t="s">
        <v>128</v>
      </c>
      <c r="AU168" s="114" t="s">
        <v>82</v>
      </c>
      <c r="AV168" s="114" t="s">
        <v>82</v>
      </c>
      <c r="AW168" s="114" t="s">
        <v>88</v>
      </c>
      <c r="AX168" s="114" t="s">
        <v>72</v>
      </c>
      <c r="AY168" s="114" t="s">
        <v>115</v>
      </c>
    </row>
    <row r="169" spans="2:64" s="6" customFormat="1" ht="15.75" customHeight="1" x14ac:dyDescent="0.3">
      <c r="B169" s="113"/>
      <c r="E169" s="114"/>
      <c r="F169" s="308" t="s">
        <v>305</v>
      </c>
      <c r="G169" s="309"/>
      <c r="H169" s="309"/>
      <c r="I169" s="309"/>
      <c r="K169" s="115">
        <f>87.6*0.1*2</f>
        <v>17.52</v>
      </c>
      <c r="R169" s="116"/>
      <c r="T169" s="117"/>
      <c r="AA169" s="118"/>
      <c r="AC169" s="138"/>
      <c r="AD169" s="138"/>
      <c r="AE169" s="138"/>
      <c r="AF169" s="138"/>
      <c r="AG169" s="138"/>
      <c r="AH169" s="138"/>
      <c r="AI169" s="138"/>
      <c r="AJ169" s="138"/>
      <c r="AT169" s="114" t="s">
        <v>128</v>
      </c>
      <c r="AU169" s="114" t="s">
        <v>82</v>
      </c>
      <c r="AV169" s="114" t="s">
        <v>82</v>
      </c>
      <c r="AW169" s="114" t="s">
        <v>88</v>
      </c>
      <c r="AX169" s="114" t="s">
        <v>72</v>
      </c>
      <c r="AY169" s="114" t="s">
        <v>115</v>
      </c>
    </row>
    <row r="170" spans="2:64" s="6" customFormat="1" ht="15.75" customHeight="1" x14ac:dyDescent="0.3">
      <c r="B170" s="119"/>
      <c r="E170" s="120"/>
      <c r="F170" s="326" t="s">
        <v>173</v>
      </c>
      <c r="G170" s="327"/>
      <c r="H170" s="327"/>
      <c r="I170" s="327"/>
      <c r="K170" s="121">
        <f>K168+K169</f>
        <v>92.480999999999995</v>
      </c>
      <c r="R170" s="122"/>
      <c r="T170" s="123"/>
      <c r="AA170" s="124"/>
      <c r="AC170" s="138"/>
      <c r="AD170" s="138"/>
      <c r="AE170" s="138"/>
      <c r="AF170" s="138"/>
      <c r="AG170" s="138"/>
      <c r="AH170" s="138"/>
      <c r="AI170" s="138"/>
      <c r="AJ170" s="138"/>
      <c r="AT170" s="120" t="s">
        <v>128</v>
      </c>
      <c r="AU170" s="120" t="s">
        <v>82</v>
      </c>
      <c r="AV170" s="120" t="s">
        <v>120</v>
      </c>
      <c r="AW170" s="120" t="s">
        <v>88</v>
      </c>
      <c r="AX170" s="120" t="s">
        <v>18</v>
      </c>
      <c r="AY170" s="120" t="s">
        <v>115</v>
      </c>
    </row>
    <row r="171" spans="2:64" s="94" customFormat="1" ht="30.75" customHeight="1" x14ac:dyDescent="0.3">
      <c r="B171" s="95"/>
      <c r="D171" s="103" t="s">
        <v>93</v>
      </c>
      <c r="N171" s="300">
        <f>SUM(N172:Q177)</f>
        <v>0</v>
      </c>
      <c r="O171" s="301"/>
      <c r="P171" s="301"/>
      <c r="Q171" s="301"/>
      <c r="R171" s="98"/>
      <c r="T171" s="99"/>
      <c r="W171" s="100">
        <f>SUM($W$172:$W$177)</f>
        <v>13.828149400000001</v>
      </c>
      <c r="Y171" s="100">
        <f>SUM($Y$172:$Y$177)</f>
        <v>5.7137600000000006</v>
      </c>
      <c r="AA171" s="101">
        <f>SUM($AA$172:$AA$177)</f>
        <v>0</v>
      </c>
      <c r="AC171" s="140"/>
      <c r="AD171" s="140"/>
      <c r="AE171" s="140"/>
      <c r="AF171" s="140"/>
      <c r="AG171" s="140"/>
      <c r="AH171" s="140"/>
      <c r="AI171" s="140"/>
      <c r="AJ171" s="140"/>
      <c r="AR171" s="97" t="s">
        <v>18</v>
      </c>
      <c r="AT171" s="97" t="s">
        <v>71</v>
      </c>
      <c r="AU171" s="97" t="s">
        <v>18</v>
      </c>
      <c r="AY171" s="97" t="s">
        <v>115</v>
      </c>
      <c r="BK171" s="102">
        <f>SUM($BK$172:$BK$177)</f>
        <v>0</v>
      </c>
    </row>
    <row r="172" spans="2:64" s="6" customFormat="1" ht="27" customHeight="1" x14ac:dyDescent="0.3">
      <c r="B172" s="19"/>
      <c r="C172" s="104">
        <v>27</v>
      </c>
      <c r="D172" s="104" t="s">
        <v>116</v>
      </c>
      <c r="E172" s="105" t="s">
        <v>178</v>
      </c>
      <c r="F172" s="286" t="s">
        <v>179</v>
      </c>
      <c r="G172" s="285"/>
      <c r="H172" s="285"/>
      <c r="I172" s="285"/>
      <c r="J172" s="106" t="s">
        <v>150</v>
      </c>
      <c r="K172" s="107">
        <f>21.2+4.8</f>
        <v>26</v>
      </c>
      <c r="L172" s="287"/>
      <c r="M172" s="285"/>
      <c r="N172" s="287">
        <f>K172*L172</f>
        <v>0</v>
      </c>
      <c r="O172" s="285"/>
      <c r="P172" s="285"/>
      <c r="Q172" s="285"/>
      <c r="R172" s="20"/>
      <c r="T172" s="108"/>
      <c r="U172" s="26" t="s">
        <v>37</v>
      </c>
      <c r="V172" s="109">
        <v>0.14599999999999999</v>
      </c>
      <c r="W172" s="109">
        <f>$V$172*$K$172</f>
        <v>3.7959999999999998</v>
      </c>
      <c r="X172" s="109">
        <v>0.10988000000000001</v>
      </c>
      <c r="Y172" s="109">
        <f>$X$172*$K$172</f>
        <v>2.8568800000000003</v>
      </c>
      <c r="Z172" s="109">
        <v>0</v>
      </c>
      <c r="AA172" s="110">
        <f>$Z$172*$K$172</f>
        <v>0</v>
      </c>
      <c r="AC172" s="138"/>
      <c r="AD172" s="138"/>
      <c r="AE172" s="138"/>
      <c r="AF172" s="138"/>
      <c r="AG172" s="138"/>
      <c r="AH172" s="138"/>
      <c r="AI172" s="138"/>
      <c r="AJ172" s="138"/>
      <c r="AR172" s="6" t="s">
        <v>120</v>
      </c>
      <c r="AT172" s="6" t="s">
        <v>116</v>
      </c>
      <c r="AU172" s="6" t="s">
        <v>82</v>
      </c>
      <c r="AY172" s="6" t="s">
        <v>115</v>
      </c>
      <c r="BE172" s="111">
        <f>IF($U$172="základní",$N$172,0)</f>
        <v>0</v>
      </c>
      <c r="BF172" s="111">
        <f>IF($U$172="snížená",$N$172,0)</f>
        <v>0</v>
      </c>
      <c r="BG172" s="111">
        <f>IF($U$172="zákl. přenesená",$N$172,0)</f>
        <v>0</v>
      </c>
      <c r="BH172" s="111">
        <f>IF($U$172="sníž. přenesená",$N$172,0)</f>
        <v>0</v>
      </c>
      <c r="BI172" s="111">
        <f>IF($U$172="nulová",$N$172,0)</f>
        <v>0</v>
      </c>
      <c r="BJ172" s="6" t="s">
        <v>18</v>
      </c>
      <c r="BK172" s="112">
        <f>ROUND($L$172*$K$172,3)</f>
        <v>0</v>
      </c>
      <c r="BL172" s="6" t="s">
        <v>120</v>
      </c>
    </row>
    <row r="173" spans="2:64" s="6" customFormat="1" ht="27" customHeight="1" x14ac:dyDescent="0.3">
      <c r="B173" s="19"/>
      <c r="C173" s="104">
        <v>28</v>
      </c>
      <c r="D173" s="104" t="s">
        <v>116</v>
      </c>
      <c r="E173" s="105"/>
      <c r="F173" s="286" t="s">
        <v>273</v>
      </c>
      <c r="G173" s="285"/>
      <c r="H173" s="285"/>
      <c r="I173" s="285"/>
      <c r="J173" s="106" t="s">
        <v>150</v>
      </c>
      <c r="K173" s="107">
        <f>K172</f>
        <v>26</v>
      </c>
      <c r="L173" s="287"/>
      <c r="M173" s="285"/>
      <c r="N173" s="287">
        <f>K173*L173</f>
        <v>0</v>
      </c>
      <c r="O173" s="285"/>
      <c r="P173" s="285"/>
      <c r="Q173" s="285"/>
      <c r="R173" s="20"/>
      <c r="T173" s="108"/>
      <c r="U173" s="26" t="s">
        <v>37</v>
      </c>
      <c r="V173" s="109">
        <v>0.14599999999999999</v>
      </c>
      <c r="W173" s="109">
        <f>$V$172*$K$172</f>
        <v>3.7959999999999998</v>
      </c>
      <c r="X173" s="109">
        <v>0.10988000000000001</v>
      </c>
      <c r="Y173" s="109">
        <f>$X$172*$K$172</f>
        <v>2.8568800000000003</v>
      </c>
      <c r="Z173" s="109">
        <v>0</v>
      </c>
      <c r="AA173" s="110">
        <f>$Z$172*$K$172</f>
        <v>0</v>
      </c>
      <c r="AC173" s="138"/>
      <c r="AD173" s="138"/>
      <c r="AE173" s="138"/>
      <c r="AF173" s="138"/>
      <c r="AG173" s="138"/>
      <c r="AH173" s="138"/>
      <c r="AI173" s="138"/>
      <c r="AJ173" s="138"/>
      <c r="AR173" s="6" t="s">
        <v>120</v>
      </c>
      <c r="AT173" s="6" t="s">
        <v>116</v>
      </c>
      <c r="AU173" s="6" t="s">
        <v>82</v>
      </c>
      <c r="AY173" s="6" t="s">
        <v>115</v>
      </c>
      <c r="BE173" s="111">
        <f>IF($U$172="základní",$N$172,0)</f>
        <v>0</v>
      </c>
      <c r="BF173" s="111">
        <f>IF($U$172="snížená",$N$172,0)</f>
        <v>0</v>
      </c>
      <c r="BG173" s="111">
        <f>IF($U$172="zákl. přenesená",$N$172,0)</f>
        <v>0</v>
      </c>
      <c r="BH173" s="111">
        <f>IF($U$172="sníž. přenesená",$N$172,0)</f>
        <v>0</v>
      </c>
      <c r="BI173" s="111">
        <f>IF($U$172="nulová",$N$172,0)</f>
        <v>0</v>
      </c>
      <c r="BJ173" s="6" t="s">
        <v>18</v>
      </c>
      <c r="BK173" s="112">
        <f>ROUND($L$172*$K$172,3)</f>
        <v>0</v>
      </c>
      <c r="BL173" s="6" t="s">
        <v>120</v>
      </c>
    </row>
    <row r="174" spans="2:64" s="6" customFormat="1" ht="27" customHeight="1" x14ac:dyDescent="0.3">
      <c r="B174" s="19"/>
      <c r="C174" s="125">
        <v>29</v>
      </c>
      <c r="D174" s="125" t="s">
        <v>180</v>
      </c>
      <c r="E174" s="126" t="s">
        <v>267</v>
      </c>
      <c r="F174" s="282" t="s">
        <v>274</v>
      </c>
      <c r="G174" s="283"/>
      <c r="H174" s="283"/>
      <c r="I174" s="283"/>
      <c r="J174" s="127" t="s">
        <v>162</v>
      </c>
      <c r="K174" s="128">
        <f>K175</f>
        <v>0</v>
      </c>
      <c r="L174" s="284"/>
      <c r="M174" s="283"/>
      <c r="N174" s="284">
        <v>0</v>
      </c>
      <c r="O174" s="285"/>
      <c r="P174" s="285"/>
      <c r="Q174" s="285"/>
      <c r="R174" s="20"/>
      <c r="T174" s="108"/>
      <c r="U174" s="26" t="s">
        <v>37</v>
      </c>
      <c r="V174" s="109">
        <v>0</v>
      </c>
      <c r="W174" s="109">
        <f>$V$174*$K$174</f>
        <v>0</v>
      </c>
      <c r="X174" s="109">
        <v>1</v>
      </c>
      <c r="Y174" s="109">
        <f>$X$174*$K$174</f>
        <v>0</v>
      </c>
      <c r="Z174" s="109">
        <v>0</v>
      </c>
      <c r="AA174" s="110">
        <f>$Z$174*$K$174</f>
        <v>0</v>
      </c>
      <c r="AC174" s="138"/>
      <c r="AD174" s="138"/>
      <c r="AE174" s="138"/>
      <c r="AF174" s="138"/>
      <c r="AG174" s="138"/>
      <c r="AH174" s="138"/>
      <c r="AI174" s="138"/>
      <c r="AJ174" s="138"/>
      <c r="AR174" s="6" t="s">
        <v>139</v>
      </c>
      <c r="AT174" s="6" t="s">
        <v>180</v>
      </c>
      <c r="AU174" s="6" t="s">
        <v>82</v>
      </c>
      <c r="AY174" s="6" t="s">
        <v>115</v>
      </c>
      <c r="BE174" s="111">
        <f>IF($U$174="základní",$N$174,0)</f>
        <v>0</v>
      </c>
      <c r="BF174" s="111">
        <f>IF($U$174="snížená",$N$174,0)</f>
        <v>0</v>
      </c>
      <c r="BG174" s="111">
        <f>IF($U$174="zákl. přenesená",$N$174,0)</f>
        <v>0</v>
      </c>
      <c r="BH174" s="111">
        <f>IF($U$174="sníž. přenesená",$N$174,0)</f>
        <v>0</v>
      </c>
      <c r="BI174" s="111">
        <f>IF($U$174="nulová",$N$174,0)</f>
        <v>0</v>
      </c>
      <c r="BJ174" s="6" t="s">
        <v>18</v>
      </c>
      <c r="BK174" s="112">
        <f>ROUND($L$174*$K$174,3)</f>
        <v>0</v>
      </c>
      <c r="BL174" s="6" t="s">
        <v>120</v>
      </c>
    </row>
    <row r="175" spans="2:64" s="6" customFormat="1" ht="15.75" customHeight="1" x14ac:dyDescent="0.3">
      <c r="B175" s="113"/>
      <c r="E175" s="114"/>
      <c r="F175" s="308" t="s">
        <v>270</v>
      </c>
      <c r="G175" s="309"/>
      <c r="H175" s="309"/>
      <c r="I175" s="309"/>
      <c r="K175" s="115">
        <v>0</v>
      </c>
      <c r="R175" s="116"/>
      <c r="T175" s="117"/>
      <c r="AA175" s="118"/>
      <c r="AC175" s="138"/>
      <c r="AD175" s="138"/>
      <c r="AE175" s="138"/>
      <c r="AF175" s="138"/>
      <c r="AG175" s="138"/>
      <c r="AH175" s="138"/>
      <c r="AI175" s="138"/>
      <c r="AJ175" s="138"/>
      <c r="AT175" s="114" t="s">
        <v>128</v>
      </c>
      <c r="AU175" s="114" t="s">
        <v>82</v>
      </c>
      <c r="AV175" s="114" t="s">
        <v>82</v>
      </c>
      <c r="AW175" s="114" t="s">
        <v>88</v>
      </c>
      <c r="AX175" s="114" t="s">
        <v>18</v>
      </c>
      <c r="AY175" s="114" t="s">
        <v>115</v>
      </c>
    </row>
    <row r="176" spans="2:64" s="6" customFormat="1" ht="27" customHeight="1" x14ac:dyDescent="0.3">
      <c r="B176" s="19"/>
      <c r="C176" s="104">
        <v>30</v>
      </c>
      <c r="D176" s="104" t="s">
        <v>116</v>
      </c>
      <c r="E176" s="105" t="s">
        <v>181</v>
      </c>
      <c r="F176" s="286" t="s">
        <v>182</v>
      </c>
      <c r="G176" s="285"/>
      <c r="H176" s="285"/>
      <c r="I176" s="285"/>
      <c r="J176" s="106" t="s">
        <v>150</v>
      </c>
      <c r="K176" s="107">
        <f>K172</f>
        <v>26</v>
      </c>
      <c r="L176" s="287"/>
      <c r="M176" s="285"/>
      <c r="N176" s="287">
        <f>K176*L176</f>
        <v>0</v>
      </c>
      <c r="O176" s="285"/>
      <c r="P176" s="285"/>
      <c r="Q176" s="285"/>
      <c r="R176" s="20"/>
      <c r="T176" s="108"/>
      <c r="U176" s="26" t="s">
        <v>37</v>
      </c>
      <c r="V176" s="109">
        <v>6.7000000000000004E-2</v>
      </c>
      <c r="W176" s="109">
        <f>$V$176*$K$176</f>
        <v>1.742</v>
      </c>
      <c r="X176" s="109">
        <v>0</v>
      </c>
      <c r="Y176" s="109">
        <f>$X$176*$K$176</f>
        <v>0</v>
      </c>
      <c r="Z176" s="109">
        <v>0</v>
      </c>
      <c r="AA176" s="110">
        <f>$Z$176*$K$176</f>
        <v>0</v>
      </c>
      <c r="AC176" s="138"/>
      <c r="AD176" s="138"/>
      <c r="AE176" s="138"/>
      <c r="AF176" s="138"/>
      <c r="AG176" s="138"/>
      <c r="AH176" s="138"/>
      <c r="AI176" s="138"/>
      <c r="AJ176" s="138"/>
      <c r="AR176" s="6" t="s">
        <v>120</v>
      </c>
      <c r="AT176" s="6" t="s">
        <v>116</v>
      </c>
      <c r="AU176" s="6" t="s">
        <v>82</v>
      </c>
      <c r="AY176" s="6" t="s">
        <v>115</v>
      </c>
      <c r="BE176" s="111">
        <f>IF($U$176="základní",$N$176,0)</f>
        <v>0</v>
      </c>
      <c r="BF176" s="111">
        <f>IF($U$176="snížená",$N$176,0)</f>
        <v>0</v>
      </c>
      <c r="BG176" s="111">
        <f>IF($U$176="zákl. přenesená",$N$176,0)</f>
        <v>0</v>
      </c>
      <c r="BH176" s="111">
        <f>IF($U$176="sníž. přenesená",$N$176,0)</f>
        <v>0</v>
      </c>
      <c r="BI176" s="111">
        <f>IF($U$176="nulová",$N$176,0)</f>
        <v>0</v>
      </c>
      <c r="BJ176" s="6" t="s">
        <v>18</v>
      </c>
      <c r="BK176" s="112">
        <f>ROUND($L$176*$K$176,3)</f>
        <v>0</v>
      </c>
      <c r="BL176" s="6" t="s">
        <v>120</v>
      </c>
    </row>
    <row r="177" spans="2:65" s="6" customFormat="1" ht="27" customHeight="1" x14ac:dyDescent="0.3">
      <c r="B177" s="19"/>
      <c r="C177" s="104">
        <v>31</v>
      </c>
      <c r="D177" s="104" t="s">
        <v>116</v>
      </c>
      <c r="E177" s="105" t="s">
        <v>183</v>
      </c>
      <c r="F177" s="286" t="s">
        <v>184</v>
      </c>
      <c r="G177" s="285"/>
      <c r="H177" s="285"/>
      <c r="I177" s="285"/>
      <c r="J177" s="106" t="s">
        <v>162</v>
      </c>
      <c r="K177" s="107">
        <f>K172*0.44321</f>
        <v>11.52346</v>
      </c>
      <c r="L177" s="287"/>
      <c r="M177" s="285"/>
      <c r="N177" s="287">
        <f>K177*L177</f>
        <v>0</v>
      </c>
      <c r="O177" s="285"/>
      <c r="P177" s="285"/>
      <c r="Q177" s="285"/>
      <c r="R177" s="20"/>
      <c r="T177" s="108"/>
      <c r="U177" s="26" t="s">
        <v>37</v>
      </c>
      <c r="V177" s="109">
        <v>0.39</v>
      </c>
      <c r="W177" s="109">
        <f>$V$177*$K$177</f>
        <v>4.4941494000000004</v>
      </c>
      <c r="X177" s="109">
        <v>0</v>
      </c>
      <c r="Y177" s="109">
        <f>$X$177*$K$177</f>
        <v>0</v>
      </c>
      <c r="Z177" s="109">
        <v>0</v>
      </c>
      <c r="AA177" s="110">
        <f>$Z$177*$K$177</f>
        <v>0</v>
      </c>
      <c r="AC177" s="138"/>
      <c r="AD177" s="138"/>
      <c r="AE177" s="138"/>
      <c r="AF177" s="138"/>
      <c r="AG177" s="138"/>
      <c r="AH177" s="138"/>
      <c r="AI177" s="138"/>
      <c r="AJ177" s="138"/>
      <c r="AR177" s="6" t="s">
        <v>120</v>
      </c>
      <c r="AT177" s="6" t="s">
        <v>116</v>
      </c>
      <c r="AU177" s="6" t="s">
        <v>82</v>
      </c>
      <c r="AY177" s="6" t="s">
        <v>115</v>
      </c>
      <c r="BE177" s="111">
        <f>IF($U$177="základní",$N$177,0)</f>
        <v>0</v>
      </c>
      <c r="BF177" s="111">
        <f>IF($U$177="snížená",$N$177,0)</f>
        <v>0</v>
      </c>
      <c r="BG177" s="111">
        <f>IF($U$177="zákl. přenesená",$N$177,0)</f>
        <v>0</v>
      </c>
      <c r="BH177" s="111">
        <f>IF($U$177="sníž. přenesená",$N$177,0)</f>
        <v>0</v>
      </c>
      <c r="BI177" s="111">
        <f>IF($U$177="nulová",$N$177,0)</f>
        <v>0</v>
      </c>
      <c r="BJ177" s="6" t="s">
        <v>18</v>
      </c>
      <c r="BK177" s="112">
        <f>ROUND($L$177*$K$177,3)</f>
        <v>0</v>
      </c>
      <c r="BL177" s="6" t="s">
        <v>120</v>
      </c>
    </row>
    <row r="178" spans="2:65" s="94" customFormat="1" ht="30.75" customHeight="1" x14ac:dyDescent="0.3">
      <c r="B178" s="95"/>
      <c r="D178" s="103" t="s">
        <v>94</v>
      </c>
      <c r="N178" s="300">
        <f>SUM(N179:Q186)</f>
        <v>0</v>
      </c>
      <c r="O178" s="301"/>
      <c r="P178" s="301"/>
      <c r="Q178" s="301"/>
      <c r="R178" s="98"/>
      <c r="T178" s="99"/>
      <c r="W178" s="100" t="e">
        <f>SUM(#REF!)</f>
        <v>#REF!</v>
      </c>
      <c r="Y178" s="100" t="e">
        <f>SUM(#REF!)</f>
        <v>#REF!</v>
      </c>
      <c r="AA178" s="101" t="e">
        <f>SUM(#REF!)</f>
        <v>#REF!</v>
      </c>
      <c r="AC178" s="140"/>
      <c r="AD178" s="140"/>
      <c r="AE178" s="140"/>
      <c r="AF178" s="140"/>
      <c r="AG178" s="140"/>
      <c r="AH178" s="140"/>
      <c r="AI178" s="140"/>
      <c r="AJ178" s="140"/>
      <c r="AR178" s="97" t="s">
        <v>18</v>
      </c>
      <c r="AT178" s="97" t="s">
        <v>71</v>
      </c>
      <c r="AU178" s="97" t="s">
        <v>18</v>
      </c>
      <c r="AY178" s="97" t="s">
        <v>115</v>
      </c>
      <c r="BK178" s="102" t="e">
        <f>SUM(#REF!)</f>
        <v>#REF!</v>
      </c>
    </row>
    <row r="179" spans="2:65" s="161" customFormat="1" ht="27" customHeight="1" x14ac:dyDescent="0.3">
      <c r="B179" s="19"/>
      <c r="C179" s="104">
        <v>32</v>
      </c>
      <c r="D179" s="104" t="s">
        <v>116</v>
      </c>
      <c r="E179" s="105" t="s">
        <v>178</v>
      </c>
      <c r="F179" s="286" t="s">
        <v>179</v>
      </c>
      <c r="G179" s="285"/>
      <c r="H179" s="285"/>
      <c r="I179" s="285"/>
      <c r="J179" s="106" t="s">
        <v>150</v>
      </c>
      <c r="K179" s="162">
        <v>290.75</v>
      </c>
      <c r="L179" s="287"/>
      <c r="M179" s="285"/>
      <c r="N179" s="287">
        <f>K179*L179</f>
        <v>0</v>
      </c>
      <c r="O179" s="285"/>
      <c r="P179" s="285"/>
      <c r="Q179" s="285"/>
      <c r="R179" s="20"/>
      <c r="T179" s="108"/>
      <c r="U179" s="26" t="s">
        <v>37</v>
      </c>
      <c r="V179" s="109">
        <v>0.14599999999999999</v>
      </c>
      <c r="W179" s="109" t="e">
        <f>#REF!*#REF!</f>
        <v>#REF!</v>
      </c>
      <c r="X179" s="109">
        <v>0.10988000000000001</v>
      </c>
      <c r="Y179" s="109" t="e">
        <f>#REF!*#REF!</f>
        <v>#REF!</v>
      </c>
      <c r="Z179" s="109">
        <v>0</v>
      </c>
      <c r="AA179" s="110" t="e">
        <f>#REF!*#REF!</f>
        <v>#REF!</v>
      </c>
      <c r="AC179" s="138"/>
      <c r="AD179" s="138"/>
      <c r="AE179" s="138"/>
      <c r="AF179" s="138"/>
      <c r="AG179" s="138"/>
      <c r="AH179" s="138"/>
      <c r="AI179" s="138"/>
      <c r="AJ179" s="138"/>
      <c r="AR179" s="161" t="s">
        <v>120</v>
      </c>
      <c r="AT179" s="161" t="s">
        <v>116</v>
      </c>
      <c r="AU179" s="161" t="s">
        <v>82</v>
      </c>
      <c r="AY179" s="161" t="s">
        <v>115</v>
      </c>
      <c r="BE179" s="111" t="e">
        <f>IF(#REF!="základní",#REF!,0)</f>
        <v>#REF!</v>
      </c>
      <c r="BF179" s="111" t="e">
        <f>IF(#REF!="snížená",#REF!,0)</f>
        <v>#REF!</v>
      </c>
      <c r="BG179" s="111" t="e">
        <f>IF(#REF!="zákl. přenesená",#REF!,0)</f>
        <v>#REF!</v>
      </c>
      <c r="BH179" s="111" t="e">
        <f>IF(#REF!="sníž. přenesená",#REF!,0)</f>
        <v>#REF!</v>
      </c>
      <c r="BI179" s="111" t="e">
        <f>IF(#REF!="nulová",#REF!,0)</f>
        <v>#REF!</v>
      </c>
      <c r="BJ179" s="161" t="s">
        <v>18</v>
      </c>
      <c r="BK179" s="112" t="e">
        <f>ROUND(#REF!*#REF!,3)</f>
        <v>#REF!</v>
      </c>
      <c r="BL179" s="161" t="s">
        <v>120</v>
      </c>
    </row>
    <row r="180" spans="2:65" s="161" customFormat="1" ht="27" customHeight="1" x14ac:dyDescent="0.3">
      <c r="B180" s="19"/>
      <c r="C180" s="104">
        <v>33</v>
      </c>
      <c r="D180" s="104" t="s">
        <v>116</v>
      </c>
      <c r="E180" s="105"/>
      <c r="F180" s="286" t="s">
        <v>273</v>
      </c>
      <c r="G180" s="285"/>
      <c r="H180" s="285"/>
      <c r="I180" s="285"/>
      <c r="J180" s="106" t="s">
        <v>150</v>
      </c>
      <c r="K180" s="162">
        <f>K179</f>
        <v>290.75</v>
      </c>
      <c r="L180" s="287"/>
      <c r="M180" s="285"/>
      <c r="N180" s="310">
        <f>K180*L180</f>
        <v>0</v>
      </c>
      <c r="O180" s="311"/>
      <c r="P180" s="311"/>
      <c r="Q180" s="312"/>
      <c r="R180" s="20"/>
      <c r="T180" s="108"/>
      <c r="U180" s="26" t="s">
        <v>37</v>
      </c>
      <c r="V180" s="109">
        <v>0.14599999999999999</v>
      </c>
      <c r="W180" s="109">
        <f>$V$172*$K$172</f>
        <v>3.7959999999999998</v>
      </c>
      <c r="X180" s="109">
        <v>0.10988000000000001</v>
      </c>
      <c r="Y180" s="109">
        <f>$X$172*$K$172</f>
        <v>2.8568800000000003</v>
      </c>
      <c r="Z180" s="109">
        <v>0</v>
      </c>
      <c r="AA180" s="110">
        <f>$Z$172*$K$172</f>
        <v>0</v>
      </c>
      <c r="AC180" s="138"/>
      <c r="AD180" s="138"/>
      <c r="AE180" s="138"/>
      <c r="AF180" s="138"/>
      <c r="AG180" s="138"/>
      <c r="AH180" s="138"/>
      <c r="AI180" s="138"/>
      <c r="AJ180" s="138"/>
      <c r="AR180" s="161" t="s">
        <v>120</v>
      </c>
      <c r="AT180" s="161" t="s">
        <v>116</v>
      </c>
      <c r="AU180" s="161" t="s">
        <v>82</v>
      </c>
      <c r="AY180" s="161" t="s">
        <v>115</v>
      </c>
      <c r="BE180" s="111">
        <f>IF($U$172="základní",$N$172,0)</f>
        <v>0</v>
      </c>
      <c r="BF180" s="111">
        <f>IF($U$172="snížená",$N$172,0)</f>
        <v>0</v>
      </c>
      <c r="BG180" s="111">
        <f>IF($U$172="zákl. přenesená",$N$172,0)</f>
        <v>0</v>
      </c>
      <c r="BH180" s="111">
        <f>IF($U$172="sníž. přenesená",$N$172,0)</f>
        <v>0</v>
      </c>
      <c r="BI180" s="111">
        <f>IF($U$172="nulová",$N$172,0)</f>
        <v>0</v>
      </c>
      <c r="BJ180" s="161" t="s">
        <v>18</v>
      </c>
      <c r="BK180" s="112">
        <f>ROUND($L$172*$K$172,3)</f>
        <v>0</v>
      </c>
      <c r="BL180" s="161" t="s">
        <v>120</v>
      </c>
    </row>
    <row r="181" spans="2:65" s="161" customFormat="1" ht="27" customHeight="1" x14ac:dyDescent="0.3">
      <c r="B181" s="19"/>
      <c r="C181" s="125">
        <v>34</v>
      </c>
      <c r="D181" s="125" t="s">
        <v>180</v>
      </c>
      <c r="E181" s="126" t="s">
        <v>267</v>
      </c>
      <c r="F181" s="282" t="s">
        <v>274</v>
      </c>
      <c r="G181" s="283"/>
      <c r="H181" s="283"/>
      <c r="I181" s="283"/>
      <c r="J181" s="127" t="s">
        <v>162</v>
      </c>
      <c r="K181" s="164">
        <f>K182</f>
        <v>0</v>
      </c>
      <c r="L181" s="284"/>
      <c r="M181" s="283"/>
      <c r="N181" s="313">
        <f>L181*K181</f>
        <v>0</v>
      </c>
      <c r="O181" s="314"/>
      <c r="P181" s="314"/>
      <c r="Q181" s="315"/>
      <c r="R181" s="20"/>
      <c r="T181" s="108"/>
      <c r="U181" s="26" t="s">
        <v>37</v>
      </c>
      <c r="V181" s="109">
        <v>0</v>
      </c>
      <c r="W181" s="109" t="e">
        <f>#REF!*#REF!</f>
        <v>#REF!</v>
      </c>
      <c r="X181" s="109">
        <v>1</v>
      </c>
      <c r="Y181" s="109" t="e">
        <f>#REF!*#REF!</f>
        <v>#REF!</v>
      </c>
      <c r="Z181" s="109">
        <v>0</v>
      </c>
      <c r="AA181" s="110" t="e">
        <f>#REF!*#REF!</f>
        <v>#REF!</v>
      </c>
      <c r="AC181" s="138"/>
      <c r="AD181" s="138"/>
      <c r="AE181" s="138"/>
      <c r="AF181" s="138"/>
      <c r="AG181" s="138"/>
      <c r="AH181" s="138"/>
      <c r="AI181" s="138"/>
      <c r="AJ181" s="138"/>
      <c r="AR181" s="161" t="s">
        <v>139</v>
      </c>
      <c r="AT181" s="161" t="s">
        <v>180</v>
      </c>
      <c r="AU181" s="161" t="s">
        <v>82</v>
      </c>
      <c r="AY181" s="161" t="s">
        <v>115</v>
      </c>
      <c r="BE181" s="111" t="e">
        <f>IF(#REF!="základní",#REF!,0)</f>
        <v>#REF!</v>
      </c>
      <c r="BF181" s="111" t="e">
        <f>IF(#REF!="snížená",#REF!,0)</f>
        <v>#REF!</v>
      </c>
      <c r="BG181" s="111" t="e">
        <f>IF(#REF!="zákl. přenesená",#REF!,0)</f>
        <v>#REF!</v>
      </c>
      <c r="BH181" s="111" t="e">
        <f>IF(#REF!="sníž. přenesená",#REF!,0)</f>
        <v>#REF!</v>
      </c>
      <c r="BI181" s="111" t="e">
        <f>IF(#REF!="nulová",#REF!,0)</f>
        <v>#REF!</v>
      </c>
      <c r="BJ181" s="161" t="s">
        <v>18</v>
      </c>
      <c r="BK181" s="112" t="e">
        <f>ROUND(#REF!*#REF!,3)</f>
        <v>#REF!</v>
      </c>
      <c r="BL181" s="161" t="s">
        <v>120</v>
      </c>
    </row>
    <row r="182" spans="2:65" s="161" customFormat="1" ht="15.75" customHeight="1" x14ac:dyDescent="0.3">
      <c r="B182" s="113"/>
      <c r="E182" s="165"/>
      <c r="F182" s="308" t="s">
        <v>316</v>
      </c>
      <c r="G182" s="309"/>
      <c r="H182" s="309"/>
      <c r="I182" s="309"/>
      <c r="K182" s="115">
        <v>0</v>
      </c>
      <c r="R182" s="116"/>
      <c r="T182" s="117"/>
      <c r="AA182" s="118"/>
      <c r="AC182" s="138"/>
      <c r="AD182" s="138"/>
      <c r="AE182" s="138"/>
      <c r="AF182" s="138"/>
      <c r="AG182" s="138"/>
      <c r="AH182" s="138"/>
      <c r="AI182" s="138"/>
      <c r="AJ182" s="138"/>
      <c r="AT182" s="165" t="s">
        <v>128</v>
      </c>
      <c r="AU182" s="165" t="s">
        <v>82</v>
      </c>
      <c r="AV182" s="165" t="s">
        <v>82</v>
      </c>
      <c r="AW182" s="165" t="s">
        <v>88</v>
      </c>
      <c r="AX182" s="165" t="s">
        <v>72</v>
      </c>
      <c r="AY182" s="165" t="s">
        <v>115</v>
      </c>
    </row>
    <row r="183" spans="2:65" s="161" customFormat="1" ht="27" customHeight="1" x14ac:dyDescent="0.3">
      <c r="B183" s="19"/>
      <c r="C183" s="125">
        <v>35</v>
      </c>
      <c r="D183" s="125" t="s">
        <v>180</v>
      </c>
      <c r="E183" s="126" t="s">
        <v>267</v>
      </c>
      <c r="F183" s="282" t="s">
        <v>274</v>
      </c>
      <c r="G183" s="283"/>
      <c r="H183" s="283"/>
      <c r="I183" s="283"/>
      <c r="J183" s="127" t="s">
        <v>162</v>
      </c>
      <c r="K183" s="164">
        <f>K184</f>
        <v>3.3333333333333335</v>
      </c>
      <c r="L183" s="284"/>
      <c r="M183" s="283"/>
      <c r="N183" s="313">
        <f>L183*K183</f>
        <v>0</v>
      </c>
      <c r="O183" s="314"/>
      <c r="P183" s="314"/>
      <c r="Q183" s="315"/>
      <c r="R183" s="20"/>
      <c r="T183" s="108"/>
      <c r="U183" s="26" t="s">
        <v>37</v>
      </c>
      <c r="V183" s="109">
        <v>0</v>
      </c>
      <c r="W183" s="109" t="e">
        <f>#REF!*#REF!</f>
        <v>#REF!</v>
      </c>
      <c r="X183" s="109">
        <v>1</v>
      </c>
      <c r="Y183" s="109" t="e">
        <f>#REF!*#REF!</f>
        <v>#REF!</v>
      </c>
      <c r="Z183" s="109">
        <v>0</v>
      </c>
      <c r="AA183" s="110" t="e">
        <f>#REF!*#REF!</f>
        <v>#REF!</v>
      </c>
      <c r="AC183" s="138"/>
      <c r="AD183" s="138"/>
      <c r="AE183" s="138"/>
      <c r="AF183" s="138"/>
      <c r="AG183" s="138"/>
      <c r="AH183" s="138"/>
      <c r="AI183" s="138"/>
      <c r="AJ183" s="138"/>
      <c r="AR183" s="161" t="s">
        <v>139</v>
      </c>
      <c r="AT183" s="161" t="s">
        <v>180</v>
      </c>
      <c r="AU183" s="161" t="s">
        <v>82</v>
      </c>
      <c r="AY183" s="161" t="s">
        <v>115</v>
      </c>
      <c r="BE183" s="111" t="e">
        <f>IF(#REF!="základní",#REF!,0)</f>
        <v>#REF!</v>
      </c>
      <c r="BF183" s="111" t="e">
        <f>IF(#REF!="snížená",#REF!,0)</f>
        <v>#REF!</v>
      </c>
      <c r="BG183" s="111" t="e">
        <f>IF(#REF!="zákl. přenesená",#REF!,0)</f>
        <v>#REF!</v>
      </c>
      <c r="BH183" s="111" t="e">
        <f>IF(#REF!="sníž. přenesená",#REF!,0)</f>
        <v>#REF!</v>
      </c>
      <c r="BI183" s="111" t="e">
        <f>IF(#REF!="nulová",#REF!,0)</f>
        <v>#REF!</v>
      </c>
      <c r="BJ183" s="161" t="s">
        <v>18</v>
      </c>
      <c r="BK183" s="112" t="e">
        <f>ROUND(#REF!*#REF!,3)</f>
        <v>#REF!</v>
      </c>
      <c r="BL183" s="161" t="s">
        <v>120</v>
      </c>
    </row>
    <row r="184" spans="2:65" s="161" customFormat="1" ht="15.75" customHeight="1" x14ac:dyDescent="0.3">
      <c r="B184" s="113"/>
      <c r="E184" s="165"/>
      <c r="F184" s="316" t="s">
        <v>318</v>
      </c>
      <c r="G184" s="317"/>
      <c r="H184" s="317"/>
      <c r="I184" s="317"/>
      <c r="K184" s="115">
        <f>10/3</f>
        <v>3.3333333333333335</v>
      </c>
      <c r="R184" s="116"/>
      <c r="T184" s="117"/>
      <c r="AA184" s="118"/>
      <c r="AC184" s="138"/>
      <c r="AD184" s="138"/>
      <c r="AE184" s="138"/>
      <c r="AF184" s="138"/>
      <c r="AG184" s="138"/>
      <c r="AH184" s="138"/>
      <c r="AI184" s="138"/>
      <c r="AJ184" s="138"/>
      <c r="AT184" s="165" t="s">
        <v>128</v>
      </c>
      <c r="AU184" s="165" t="s">
        <v>82</v>
      </c>
      <c r="AV184" s="165" t="s">
        <v>82</v>
      </c>
      <c r="AW184" s="165" t="s">
        <v>88</v>
      </c>
      <c r="AX184" s="165" t="s">
        <v>72</v>
      </c>
      <c r="AY184" s="165" t="s">
        <v>115</v>
      </c>
    </row>
    <row r="185" spans="2:65" s="161" customFormat="1" ht="27" customHeight="1" x14ac:dyDescent="0.3">
      <c r="B185" s="19"/>
      <c r="C185" s="104">
        <v>36</v>
      </c>
      <c r="D185" s="104" t="s">
        <v>116</v>
      </c>
      <c r="E185" s="105" t="s">
        <v>181</v>
      </c>
      <c r="F185" s="286" t="s">
        <v>182</v>
      </c>
      <c r="G185" s="285"/>
      <c r="H185" s="285"/>
      <c r="I185" s="285"/>
      <c r="J185" s="106" t="s">
        <v>150</v>
      </c>
      <c r="K185" s="162">
        <v>664.31</v>
      </c>
      <c r="L185" s="287"/>
      <c r="M185" s="285"/>
      <c r="N185" s="287">
        <f>K185*L185</f>
        <v>0</v>
      </c>
      <c r="O185" s="285"/>
      <c r="P185" s="285"/>
      <c r="Q185" s="285"/>
      <c r="R185" s="20"/>
      <c r="T185" s="108"/>
      <c r="U185" s="26" t="s">
        <v>37</v>
      </c>
      <c r="V185" s="109">
        <v>6.7000000000000004E-2</v>
      </c>
      <c r="W185" s="109" t="e">
        <f>#REF!*#REF!</f>
        <v>#REF!</v>
      </c>
      <c r="X185" s="109">
        <v>0</v>
      </c>
      <c r="Y185" s="109" t="e">
        <f>#REF!*#REF!</f>
        <v>#REF!</v>
      </c>
      <c r="Z185" s="109">
        <v>0</v>
      </c>
      <c r="AA185" s="110" t="e">
        <f>#REF!*#REF!</f>
        <v>#REF!</v>
      </c>
      <c r="AC185" s="138"/>
      <c r="AD185" s="138"/>
      <c r="AE185" s="138"/>
      <c r="AF185" s="138"/>
      <c r="AG185" s="138"/>
      <c r="AH185" s="138"/>
      <c r="AI185" s="138"/>
      <c r="AJ185" s="138"/>
      <c r="AR185" s="161" t="s">
        <v>120</v>
      </c>
      <c r="AT185" s="161" t="s">
        <v>116</v>
      </c>
      <c r="AU185" s="161" t="s">
        <v>82</v>
      </c>
      <c r="AY185" s="161" t="s">
        <v>115</v>
      </c>
      <c r="BE185" s="111" t="e">
        <f>IF(#REF!="základní",#REF!,0)</f>
        <v>#REF!</v>
      </c>
      <c r="BF185" s="111" t="e">
        <f>IF(#REF!="snížená",#REF!,0)</f>
        <v>#REF!</v>
      </c>
      <c r="BG185" s="111" t="e">
        <f>IF(#REF!="zákl. přenesená",#REF!,0)</f>
        <v>#REF!</v>
      </c>
      <c r="BH185" s="111" t="e">
        <f>IF(#REF!="sníž. přenesená",#REF!,0)</f>
        <v>#REF!</v>
      </c>
      <c r="BI185" s="111" t="e">
        <f>IF(#REF!="nulová",#REF!,0)</f>
        <v>#REF!</v>
      </c>
      <c r="BJ185" s="161" t="s">
        <v>18</v>
      </c>
      <c r="BK185" s="112" t="e">
        <f>ROUND(#REF!*#REF!,3)</f>
        <v>#REF!</v>
      </c>
      <c r="BL185" s="161" t="s">
        <v>120</v>
      </c>
    </row>
    <row r="186" spans="2:65" s="161" customFormat="1" ht="27" customHeight="1" x14ac:dyDescent="0.3">
      <c r="B186" s="19"/>
      <c r="C186" s="104">
        <v>37</v>
      </c>
      <c r="D186" s="104" t="s">
        <v>116</v>
      </c>
      <c r="E186" s="105" t="s">
        <v>183</v>
      </c>
      <c r="F186" s="286" t="s">
        <v>184</v>
      </c>
      <c r="G186" s="285"/>
      <c r="H186" s="285"/>
      <c r="I186" s="285"/>
      <c r="J186" s="106" t="s">
        <v>162</v>
      </c>
      <c r="K186" s="162">
        <f>K179*0.443211</f>
        <v>128.86359825</v>
      </c>
      <c r="L186" s="287"/>
      <c r="M186" s="285"/>
      <c r="N186" s="287">
        <f>K186*L186</f>
        <v>0</v>
      </c>
      <c r="O186" s="285"/>
      <c r="P186" s="285"/>
      <c r="Q186" s="285"/>
      <c r="R186" s="20"/>
      <c r="T186" s="108"/>
      <c r="U186" s="26" t="s">
        <v>37</v>
      </c>
      <c r="V186" s="109">
        <v>0.39</v>
      </c>
      <c r="W186" s="109" t="e">
        <f>#REF!*#REF!</f>
        <v>#REF!</v>
      </c>
      <c r="X186" s="109">
        <v>0</v>
      </c>
      <c r="Y186" s="109" t="e">
        <f>#REF!*#REF!</f>
        <v>#REF!</v>
      </c>
      <c r="Z186" s="109">
        <v>0</v>
      </c>
      <c r="AA186" s="110" t="e">
        <f>#REF!*#REF!</f>
        <v>#REF!</v>
      </c>
      <c r="AC186" s="138"/>
      <c r="AD186" s="138"/>
      <c r="AE186" s="138"/>
      <c r="AF186" s="138"/>
      <c r="AG186" s="138"/>
      <c r="AH186" s="138"/>
      <c r="AI186" s="138"/>
      <c r="AJ186" s="138"/>
      <c r="AR186" s="161" t="s">
        <v>120</v>
      </c>
      <c r="AT186" s="161" t="s">
        <v>116</v>
      </c>
      <c r="AU186" s="161" t="s">
        <v>82</v>
      </c>
      <c r="AY186" s="161" t="s">
        <v>115</v>
      </c>
      <c r="BE186" s="111" t="e">
        <f>IF(#REF!="základní",#REF!,0)</f>
        <v>#REF!</v>
      </c>
      <c r="BF186" s="111" t="e">
        <f>IF(#REF!="snížená",#REF!,0)</f>
        <v>#REF!</v>
      </c>
      <c r="BG186" s="111" t="e">
        <f>IF(#REF!="zákl. přenesená",#REF!,0)</f>
        <v>#REF!</v>
      </c>
      <c r="BH186" s="111" t="e">
        <f>IF(#REF!="sníž. přenesená",#REF!,0)</f>
        <v>#REF!</v>
      </c>
      <c r="BI186" s="111" t="e">
        <f>IF(#REF!="nulová",#REF!,0)</f>
        <v>#REF!</v>
      </c>
      <c r="BJ186" s="161" t="s">
        <v>18</v>
      </c>
      <c r="BK186" s="112" t="e">
        <f>ROUND(#REF!*#REF!,3)</f>
        <v>#REF!</v>
      </c>
      <c r="BL186" s="161" t="s">
        <v>120</v>
      </c>
    </row>
    <row r="187" spans="2:65" s="94" customFormat="1" ht="30.75" customHeight="1" x14ac:dyDescent="0.3">
      <c r="B187" s="95"/>
      <c r="D187" s="103" t="s">
        <v>315</v>
      </c>
      <c r="N187" s="300">
        <f>SUM(N188:Q192)</f>
        <v>0</v>
      </c>
      <c r="O187" s="301"/>
      <c r="P187" s="301"/>
      <c r="Q187" s="301"/>
      <c r="R187" s="98"/>
      <c r="T187" s="99"/>
      <c r="W187" s="100" t="e">
        <f>SUM(#REF!)</f>
        <v>#REF!</v>
      </c>
      <c r="Y187" s="100" t="e">
        <f>SUM(#REF!)</f>
        <v>#REF!</v>
      </c>
      <c r="AA187" s="101" t="e">
        <f>SUM(#REF!)</f>
        <v>#REF!</v>
      </c>
      <c r="AC187" s="140"/>
      <c r="AD187" s="140"/>
      <c r="AE187" s="140"/>
      <c r="AF187" s="140"/>
      <c r="AG187" s="140"/>
      <c r="AH187" s="140"/>
      <c r="AI187" s="140"/>
      <c r="AJ187" s="140"/>
      <c r="AR187" s="163" t="s">
        <v>18</v>
      </c>
      <c r="AT187" s="163" t="s">
        <v>71</v>
      </c>
      <c r="AU187" s="163" t="s">
        <v>18</v>
      </c>
      <c r="AY187" s="163" t="s">
        <v>115</v>
      </c>
      <c r="BK187" s="102" t="e">
        <f>SUM(#REF!)</f>
        <v>#REF!</v>
      </c>
    </row>
    <row r="188" spans="2:65" s="167" customFormat="1" ht="40.15" customHeight="1" x14ac:dyDescent="0.3">
      <c r="B188" s="168"/>
      <c r="C188" s="169">
        <v>38</v>
      </c>
      <c r="D188" s="169" t="s">
        <v>116</v>
      </c>
      <c r="E188" s="170" t="s">
        <v>306</v>
      </c>
      <c r="F188" s="297" t="s">
        <v>307</v>
      </c>
      <c r="G188" s="297"/>
      <c r="H188" s="297"/>
      <c r="I188" s="297"/>
      <c r="J188" s="171" t="s">
        <v>150</v>
      </c>
      <c r="K188" s="172">
        <v>11.6</v>
      </c>
      <c r="L188" s="298"/>
      <c r="M188" s="298"/>
      <c r="N188" s="298">
        <f>ROUND(L188*K188,3)</f>
        <v>0</v>
      </c>
      <c r="O188" s="298"/>
      <c r="P188" s="298"/>
      <c r="Q188" s="298"/>
      <c r="R188" s="173"/>
      <c r="T188" s="174" t="s">
        <v>293</v>
      </c>
      <c r="U188" s="175" t="s">
        <v>37</v>
      </c>
      <c r="V188" s="176">
        <v>0.32500000000000001</v>
      </c>
      <c r="W188" s="176">
        <f>V188*K188</f>
        <v>3.77</v>
      </c>
      <c r="X188" s="176">
        <v>0.20218871999999999</v>
      </c>
      <c r="Y188" s="176">
        <f>X188*K188</f>
        <v>2.3453891519999996</v>
      </c>
      <c r="Z188" s="176">
        <v>0</v>
      </c>
      <c r="AA188" s="177">
        <f>Z188*K188</f>
        <v>0</v>
      </c>
      <c r="AR188" s="178" t="s">
        <v>120</v>
      </c>
      <c r="AT188" s="178" t="s">
        <v>116</v>
      </c>
      <c r="AU188" s="178" t="s">
        <v>82</v>
      </c>
      <c r="AY188" s="178" t="s">
        <v>115</v>
      </c>
      <c r="BE188" s="179">
        <f>IF(U188="základní",N188,0)</f>
        <v>0</v>
      </c>
      <c r="BF188" s="179">
        <f>IF(U188="snížená",N188,0)</f>
        <v>0</v>
      </c>
      <c r="BG188" s="179">
        <f>IF(U188="zákl. přenesená",N188,0)</f>
        <v>0</v>
      </c>
      <c r="BH188" s="179">
        <f>IF(U188="sníž. přenesená",N188,0)</f>
        <v>0</v>
      </c>
      <c r="BI188" s="179">
        <f>IF(U188="nulová",N188,0)</f>
        <v>0</v>
      </c>
      <c r="BJ188" s="178" t="s">
        <v>18</v>
      </c>
      <c r="BK188" s="180">
        <f>ROUND(L188*K188,3)</f>
        <v>0</v>
      </c>
      <c r="BL188" s="178" t="s">
        <v>120</v>
      </c>
      <c r="BM188" s="178" t="s">
        <v>308</v>
      </c>
    </row>
    <row r="189" spans="2:65" s="167" customFormat="1" ht="28.9" customHeight="1" x14ac:dyDescent="0.3">
      <c r="B189" s="168"/>
      <c r="C189" s="182">
        <v>39</v>
      </c>
      <c r="D189" s="182" t="s">
        <v>180</v>
      </c>
      <c r="E189" s="183" t="s">
        <v>309</v>
      </c>
      <c r="F189" s="306" t="s">
        <v>313</v>
      </c>
      <c r="G189" s="306"/>
      <c r="H189" s="306"/>
      <c r="I189" s="306"/>
      <c r="J189" s="184" t="s">
        <v>159</v>
      </c>
      <c r="K189" s="185">
        <f>K188*1.01</f>
        <v>11.715999999999999</v>
      </c>
      <c r="L189" s="307"/>
      <c r="M189" s="307"/>
      <c r="N189" s="307">
        <f>ROUND(L189*K189,3)</f>
        <v>0</v>
      </c>
      <c r="O189" s="298"/>
      <c r="P189" s="298"/>
      <c r="Q189" s="298"/>
      <c r="R189" s="173"/>
      <c r="T189" s="174" t="s">
        <v>293</v>
      </c>
      <c r="U189" s="175" t="s">
        <v>37</v>
      </c>
      <c r="V189" s="176">
        <v>0</v>
      </c>
      <c r="W189" s="176">
        <f>V189*K189</f>
        <v>0</v>
      </c>
      <c r="X189" s="176">
        <v>8.2100000000000006E-2</v>
      </c>
      <c r="Y189" s="176">
        <f>X189*K189</f>
        <v>0.96188360000000006</v>
      </c>
      <c r="Z189" s="176">
        <v>0</v>
      </c>
      <c r="AA189" s="177">
        <f>Z189*K189</f>
        <v>0</v>
      </c>
      <c r="AR189" s="178" t="s">
        <v>139</v>
      </c>
      <c r="AT189" s="178" t="s">
        <v>180</v>
      </c>
      <c r="AU189" s="178" t="s">
        <v>82</v>
      </c>
      <c r="AY189" s="178" t="s">
        <v>115</v>
      </c>
      <c r="BE189" s="179">
        <f>IF(U189="základní",N189,0)</f>
        <v>0</v>
      </c>
      <c r="BF189" s="179">
        <f>IF(U189="snížená",N189,0)</f>
        <v>0</v>
      </c>
      <c r="BG189" s="179">
        <f>IF(U189="zákl. přenesená",N189,0)</f>
        <v>0</v>
      </c>
      <c r="BH189" s="179">
        <f>IF(U189="sníž. přenesená",N189,0)</f>
        <v>0</v>
      </c>
      <c r="BI189" s="179">
        <f>IF(U189="nulová",N189,0)</f>
        <v>0</v>
      </c>
      <c r="BJ189" s="178" t="s">
        <v>18</v>
      </c>
      <c r="BK189" s="180">
        <f>ROUND(L189*K189,3)</f>
        <v>0</v>
      </c>
      <c r="BL189" s="178" t="s">
        <v>120</v>
      </c>
      <c r="BM189" s="178" t="s">
        <v>310</v>
      </c>
    </row>
    <row r="190" spans="2:65" s="186" customFormat="1" ht="20.45" customHeight="1" x14ac:dyDescent="0.3">
      <c r="B190" s="187"/>
      <c r="C190" s="188"/>
      <c r="D190" s="188"/>
      <c r="E190" s="189" t="s">
        <v>293</v>
      </c>
      <c r="F190" s="318" t="s">
        <v>314</v>
      </c>
      <c r="G190" s="319"/>
      <c r="H190" s="319"/>
      <c r="I190" s="319"/>
      <c r="J190" s="188"/>
      <c r="K190" s="190">
        <f>K188*1.01</f>
        <v>11.715999999999999</v>
      </c>
      <c r="L190" s="188"/>
      <c r="M190" s="188"/>
      <c r="N190" s="188"/>
      <c r="O190" s="188"/>
      <c r="P190" s="188"/>
      <c r="Q190" s="188"/>
      <c r="R190" s="191"/>
      <c r="T190" s="192"/>
      <c r="U190" s="188"/>
      <c r="V190" s="188"/>
      <c r="W190" s="188"/>
      <c r="X190" s="188"/>
      <c r="Y190" s="188"/>
      <c r="Z190" s="188"/>
      <c r="AA190" s="193"/>
      <c r="AT190" s="194" t="s">
        <v>128</v>
      </c>
      <c r="AU190" s="194" t="s">
        <v>82</v>
      </c>
      <c r="AV190" s="186" t="s">
        <v>82</v>
      </c>
      <c r="AW190" s="186" t="s">
        <v>30</v>
      </c>
      <c r="AX190" s="186" t="s">
        <v>18</v>
      </c>
      <c r="AY190" s="194" t="s">
        <v>115</v>
      </c>
    </row>
    <row r="191" spans="2:65" s="167" customFormat="1" ht="28.9" customHeight="1" x14ac:dyDescent="0.3">
      <c r="B191" s="168"/>
      <c r="C191" s="169">
        <v>40</v>
      </c>
      <c r="D191" s="169" t="s">
        <v>116</v>
      </c>
      <c r="E191" s="170" t="s">
        <v>181</v>
      </c>
      <c r="F191" s="297" t="s">
        <v>182</v>
      </c>
      <c r="G191" s="297"/>
      <c r="H191" s="297"/>
      <c r="I191" s="297"/>
      <c r="J191" s="171" t="s">
        <v>150</v>
      </c>
      <c r="K191" s="172">
        <f>K188</f>
        <v>11.6</v>
      </c>
      <c r="L191" s="298"/>
      <c r="M191" s="298"/>
      <c r="N191" s="298">
        <f>ROUND(L191*K191,3)</f>
        <v>0</v>
      </c>
      <c r="O191" s="298"/>
      <c r="P191" s="298"/>
      <c r="Q191" s="298"/>
      <c r="R191" s="173"/>
      <c r="T191" s="174" t="s">
        <v>293</v>
      </c>
      <c r="U191" s="175" t="s">
        <v>37</v>
      </c>
      <c r="V191" s="176">
        <v>6.7000000000000004E-2</v>
      </c>
      <c r="W191" s="176">
        <f>V191*K191</f>
        <v>0.7772</v>
      </c>
      <c r="X191" s="176">
        <v>0</v>
      </c>
      <c r="Y191" s="176">
        <f>X191*K191</f>
        <v>0</v>
      </c>
      <c r="Z191" s="176">
        <v>0</v>
      </c>
      <c r="AA191" s="177">
        <f>Z191*K191</f>
        <v>0</v>
      </c>
      <c r="AR191" s="178" t="s">
        <v>120</v>
      </c>
      <c r="AT191" s="178" t="s">
        <v>116</v>
      </c>
      <c r="AU191" s="178" t="s">
        <v>82</v>
      </c>
      <c r="AY191" s="178" t="s">
        <v>115</v>
      </c>
      <c r="BE191" s="179">
        <f>IF(U191="základní",N191,0)</f>
        <v>0</v>
      </c>
      <c r="BF191" s="179">
        <f>IF(U191="snížená",N191,0)</f>
        <v>0</v>
      </c>
      <c r="BG191" s="179">
        <f>IF(U191="zákl. přenesená",N191,0)</f>
        <v>0</v>
      </c>
      <c r="BH191" s="179">
        <f>IF(U191="sníž. přenesená",N191,0)</f>
        <v>0</v>
      </c>
      <c r="BI191" s="179">
        <f>IF(U191="nulová",N191,0)</f>
        <v>0</v>
      </c>
      <c r="BJ191" s="178" t="s">
        <v>18</v>
      </c>
      <c r="BK191" s="180">
        <f>ROUND(L191*K191,3)</f>
        <v>0</v>
      </c>
      <c r="BL191" s="178" t="s">
        <v>120</v>
      </c>
      <c r="BM191" s="178" t="s">
        <v>311</v>
      </c>
    </row>
    <row r="192" spans="2:65" s="167" customFormat="1" ht="28.9" customHeight="1" x14ac:dyDescent="0.3">
      <c r="B192" s="168"/>
      <c r="C192" s="169">
        <v>41</v>
      </c>
      <c r="D192" s="169" t="s">
        <v>116</v>
      </c>
      <c r="E192" s="170" t="s">
        <v>183</v>
      </c>
      <c r="F192" s="297" t="s">
        <v>184</v>
      </c>
      <c r="G192" s="297"/>
      <c r="H192" s="297"/>
      <c r="I192" s="297"/>
      <c r="J192" s="171" t="s">
        <v>162</v>
      </c>
      <c r="K192" s="172">
        <f>K188*0.954</f>
        <v>11.0664</v>
      </c>
      <c r="L192" s="298"/>
      <c r="M192" s="298"/>
      <c r="N192" s="298">
        <f>ROUND(L192*K192,3)</f>
        <v>0</v>
      </c>
      <c r="O192" s="298"/>
      <c r="P192" s="298"/>
      <c r="Q192" s="298"/>
      <c r="R192" s="173"/>
      <c r="T192" s="174" t="s">
        <v>293</v>
      </c>
      <c r="U192" s="175" t="s">
        <v>37</v>
      </c>
      <c r="V192" s="176">
        <v>0.39700000000000002</v>
      </c>
      <c r="W192" s="176">
        <f>V192*K192</f>
        <v>4.3933608</v>
      </c>
      <c r="X192" s="176">
        <v>0</v>
      </c>
      <c r="Y192" s="176">
        <f>X192*K192</f>
        <v>0</v>
      </c>
      <c r="Z192" s="176">
        <v>0</v>
      </c>
      <c r="AA192" s="177">
        <f>Z192*K192</f>
        <v>0</v>
      </c>
      <c r="AR192" s="178" t="s">
        <v>120</v>
      </c>
      <c r="AT192" s="178" t="s">
        <v>116</v>
      </c>
      <c r="AU192" s="178" t="s">
        <v>82</v>
      </c>
      <c r="AY192" s="178" t="s">
        <v>115</v>
      </c>
      <c r="BE192" s="179">
        <f>IF(U192="základní",N192,0)</f>
        <v>0</v>
      </c>
      <c r="BF192" s="179">
        <f>IF(U192="snížená",N192,0)</f>
        <v>0</v>
      </c>
      <c r="BG192" s="179">
        <f>IF(U192="zákl. přenesená",N192,0)</f>
        <v>0</v>
      </c>
      <c r="BH192" s="179">
        <f>IF(U192="sníž. přenesená",N192,0)</f>
        <v>0</v>
      </c>
      <c r="BI192" s="179">
        <f>IF(U192="nulová",N192,0)</f>
        <v>0</v>
      </c>
      <c r="BJ192" s="178" t="s">
        <v>18</v>
      </c>
      <c r="BK192" s="180">
        <f>ROUND(L192*K192,3)</f>
        <v>0</v>
      </c>
      <c r="BL192" s="178" t="s">
        <v>120</v>
      </c>
      <c r="BM192" s="178" t="s">
        <v>312</v>
      </c>
    </row>
    <row r="193" spans="2:65" s="94" customFormat="1" ht="30.75" customHeight="1" x14ac:dyDescent="0.3">
      <c r="B193" s="95"/>
      <c r="D193" s="197" t="s">
        <v>377</v>
      </c>
      <c r="N193" s="300">
        <f>SUM(N194:Q197)</f>
        <v>0</v>
      </c>
      <c r="O193" s="301"/>
      <c r="P193" s="301"/>
      <c r="Q193" s="301"/>
      <c r="R193" s="98"/>
      <c r="T193" s="99"/>
      <c r="W193" s="100">
        <f>SUM($W$194:$W$197)</f>
        <v>34.276056000000004</v>
      </c>
      <c r="Y193" s="100">
        <f>SUM($Y$194:$Y$197)</f>
        <v>1.5995000000000002E-2</v>
      </c>
      <c r="AA193" s="101">
        <f>SUM($AA$194:$AA$197)</f>
        <v>0</v>
      </c>
      <c r="AC193" s="140"/>
      <c r="AD193" s="140"/>
      <c r="AE193" s="140"/>
      <c r="AF193" s="140"/>
      <c r="AG193" s="140"/>
      <c r="AH193" s="140"/>
      <c r="AI193" s="140"/>
      <c r="AJ193" s="140"/>
      <c r="AR193" s="97" t="s">
        <v>18</v>
      </c>
      <c r="AT193" s="97" t="s">
        <v>71</v>
      </c>
      <c r="AU193" s="97" t="s">
        <v>18</v>
      </c>
      <c r="AY193" s="97" t="s">
        <v>115</v>
      </c>
      <c r="BK193" s="102">
        <f>SUM($BK$194:$BK$197)</f>
        <v>0</v>
      </c>
    </row>
    <row r="194" spans="2:65" s="6" customFormat="1" ht="27" customHeight="1" x14ac:dyDescent="0.3">
      <c r="B194" s="19"/>
      <c r="C194" s="104">
        <v>42</v>
      </c>
      <c r="D194" s="104" t="s">
        <v>116</v>
      </c>
      <c r="E194" s="105" t="s">
        <v>189</v>
      </c>
      <c r="F194" s="286" t="s">
        <v>190</v>
      </c>
      <c r="G194" s="285"/>
      <c r="H194" s="285"/>
      <c r="I194" s="285"/>
      <c r="J194" s="106" t="s">
        <v>150</v>
      </c>
      <c r="K194" s="107">
        <v>45.7</v>
      </c>
      <c r="L194" s="287"/>
      <c r="M194" s="285"/>
      <c r="N194" s="287">
        <f>K194*L194</f>
        <v>0</v>
      </c>
      <c r="O194" s="285"/>
      <c r="P194" s="285"/>
      <c r="Q194" s="285"/>
      <c r="R194" s="20"/>
      <c r="T194" s="108"/>
      <c r="U194" s="26" t="s">
        <v>37</v>
      </c>
      <c r="V194" s="109">
        <v>0.4</v>
      </c>
      <c r="W194" s="109">
        <f>$V$194*$K$194</f>
        <v>18.28</v>
      </c>
      <c r="X194" s="109">
        <v>1.0000000000000001E-5</v>
      </c>
      <c r="Y194" s="109">
        <f>$X$194*$K$194</f>
        <v>4.5700000000000005E-4</v>
      </c>
      <c r="Z194" s="109">
        <v>0</v>
      </c>
      <c r="AA194" s="110">
        <f>$Z$194*$K$194</f>
        <v>0</v>
      </c>
      <c r="AC194" s="138"/>
      <c r="AD194" s="138"/>
      <c r="AE194" s="138"/>
      <c r="AF194" s="138"/>
      <c r="AG194" s="138"/>
      <c r="AH194" s="138"/>
      <c r="AI194" s="138"/>
      <c r="AJ194" s="138"/>
      <c r="AR194" s="6" t="s">
        <v>120</v>
      </c>
      <c r="AT194" s="6" t="s">
        <v>116</v>
      </c>
      <c r="AU194" s="6" t="s">
        <v>82</v>
      </c>
      <c r="AY194" s="6" t="s">
        <v>115</v>
      </c>
      <c r="BE194" s="111">
        <f>IF($U$194="základní",$N$194,0)</f>
        <v>0</v>
      </c>
      <c r="BF194" s="111">
        <f>IF($U$194="snížená",$N$194,0)</f>
        <v>0</v>
      </c>
      <c r="BG194" s="111">
        <f>IF($U$194="zákl. přenesená",$N$194,0)</f>
        <v>0</v>
      </c>
      <c r="BH194" s="111">
        <f>IF($U$194="sníž. přenesená",$N$194,0)</f>
        <v>0</v>
      </c>
      <c r="BI194" s="111">
        <f>IF($U$194="nulová",$N$194,0)</f>
        <v>0</v>
      </c>
      <c r="BJ194" s="6" t="s">
        <v>18</v>
      </c>
      <c r="BK194" s="112">
        <f>ROUND($L$194*$K$194,3)</f>
        <v>0</v>
      </c>
      <c r="BL194" s="6" t="s">
        <v>120</v>
      </c>
    </row>
    <row r="195" spans="2:65" s="6" customFormat="1" ht="27" customHeight="1" x14ac:dyDescent="0.3">
      <c r="B195" s="19"/>
      <c r="C195" s="104">
        <v>43</v>
      </c>
      <c r="D195" s="104" t="s">
        <v>116</v>
      </c>
      <c r="E195" s="105" t="s">
        <v>191</v>
      </c>
      <c r="F195" s="286" t="s">
        <v>192</v>
      </c>
      <c r="G195" s="285"/>
      <c r="H195" s="285"/>
      <c r="I195" s="285"/>
      <c r="J195" s="106" t="s">
        <v>150</v>
      </c>
      <c r="K195" s="107">
        <v>45.7</v>
      </c>
      <c r="L195" s="287"/>
      <c r="M195" s="285"/>
      <c r="N195" s="287">
        <f>K195*L195</f>
        <v>0</v>
      </c>
      <c r="O195" s="285"/>
      <c r="P195" s="285"/>
      <c r="Q195" s="285"/>
      <c r="R195" s="20"/>
      <c r="T195" s="108"/>
      <c r="U195" s="26" t="s">
        <v>37</v>
      </c>
      <c r="V195" s="109">
        <v>0.25700000000000001</v>
      </c>
      <c r="W195" s="109">
        <f>$V$195*$K$195</f>
        <v>11.744900000000001</v>
      </c>
      <c r="X195" s="109">
        <v>3.4000000000000002E-4</v>
      </c>
      <c r="Y195" s="109">
        <f>$X$195*$K$195</f>
        <v>1.5538000000000001E-2</v>
      </c>
      <c r="Z195" s="109">
        <v>0</v>
      </c>
      <c r="AA195" s="110">
        <f>$Z$195*$K$195</f>
        <v>0</v>
      </c>
      <c r="AC195" s="138"/>
      <c r="AD195" s="138"/>
      <c r="AE195" s="138"/>
      <c r="AF195" s="138"/>
      <c r="AG195" s="138"/>
      <c r="AH195" s="138"/>
      <c r="AI195" s="138"/>
      <c r="AJ195" s="138"/>
      <c r="AR195" s="6" t="s">
        <v>120</v>
      </c>
      <c r="AT195" s="6" t="s">
        <v>116</v>
      </c>
      <c r="AU195" s="6" t="s">
        <v>82</v>
      </c>
      <c r="AY195" s="6" t="s">
        <v>115</v>
      </c>
      <c r="BE195" s="111">
        <f>IF($U$195="základní",$N$195,0)</f>
        <v>0</v>
      </c>
      <c r="BF195" s="111">
        <f>IF($U$195="snížená",$N$195,0)</f>
        <v>0</v>
      </c>
      <c r="BG195" s="111">
        <f>IF($U$195="zákl. přenesená",$N$195,0)</f>
        <v>0</v>
      </c>
      <c r="BH195" s="111">
        <f>IF($U$195="sníž. přenesená",$N$195,0)</f>
        <v>0</v>
      </c>
      <c r="BI195" s="111">
        <f>IF($U$195="nulová",$N$195,0)</f>
        <v>0</v>
      </c>
      <c r="BJ195" s="6" t="s">
        <v>18</v>
      </c>
      <c r="BK195" s="112">
        <f>ROUND($L$195*$K$195,3)</f>
        <v>0</v>
      </c>
      <c r="BL195" s="6" t="s">
        <v>120</v>
      </c>
    </row>
    <row r="196" spans="2:65" s="6" customFormat="1" ht="27" customHeight="1" x14ac:dyDescent="0.3">
      <c r="B196" s="19"/>
      <c r="C196" s="104">
        <v>44</v>
      </c>
      <c r="D196" s="104" t="s">
        <v>116</v>
      </c>
      <c r="E196" s="105" t="s">
        <v>193</v>
      </c>
      <c r="F196" s="286" t="s">
        <v>194</v>
      </c>
      <c r="G196" s="285"/>
      <c r="H196" s="285"/>
      <c r="I196" s="285"/>
      <c r="J196" s="106" t="s">
        <v>150</v>
      </c>
      <c r="K196" s="107">
        <v>45.7</v>
      </c>
      <c r="L196" s="287"/>
      <c r="M196" s="285"/>
      <c r="N196" s="287">
        <f>K196*L196</f>
        <v>0</v>
      </c>
      <c r="O196" s="285"/>
      <c r="P196" s="285"/>
      <c r="Q196" s="285"/>
      <c r="R196" s="20"/>
      <c r="T196" s="108"/>
      <c r="U196" s="26" t="s">
        <v>37</v>
      </c>
      <c r="V196" s="109">
        <v>9.2999999999999999E-2</v>
      </c>
      <c r="W196" s="109">
        <f>$V$196*$K$196</f>
        <v>4.2501000000000007</v>
      </c>
      <c r="X196" s="109">
        <v>0</v>
      </c>
      <c r="Y196" s="109">
        <f>$X$196*$K$196</f>
        <v>0</v>
      </c>
      <c r="Z196" s="109">
        <v>0</v>
      </c>
      <c r="AA196" s="110">
        <f>$Z$196*$K$196</f>
        <v>0</v>
      </c>
      <c r="AC196" s="138"/>
      <c r="AD196" s="138"/>
      <c r="AE196" s="138"/>
      <c r="AF196" s="138"/>
      <c r="AG196" s="138"/>
      <c r="AH196" s="138"/>
      <c r="AI196" s="138"/>
      <c r="AJ196" s="138"/>
      <c r="AR196" s="6" t="s">
        <v>120</v>
      </c>
      <c r="AT196" s="6" t="s">
        <v>116</v>
      </c>
      <c r="AU196" s="6" t="s">
        <v>82</v>
      </c>
      <c r="AY196" s="6" t="s">
        <v>115</v>
      </c>
      <c r="BE196" s="111">
        <f>IF($U$196="základní",$N$196,0)</f>
        <v>0</v>
      </c>
      <c r="BF196" s="111">
        <f>IF($U$196="snížená",$N$196,0)</f>
        <v>0</v>
      </c>
      <c r="BG196" s="111">
        <f>IF($U$196="zákl. přenesená",$N$196,0)</f>
        <v>0</v>
      </c>
      <c r="BH196" s="111">
        <f>IF($U$196="sníž. přenesená",$N$196,0)</f>
        <v>0</v>
      </c>
      <c r="BI196" s="111">
        <f>IF($U$196="nulová",$N$196,0)</f>
        <v>0</v>
      </c>
      <c r="BJ196" s="6" t="s">
        <v>18</v>
      </c>
      <c r="BK196" s="112">
        <f>ROUND($L$196*$K$196,3)</f>
        <v>0</v>
      </c>
      <c r="BL196" s="6" t="s">
        <v>120</v>
      </c>
    </row>
    <row r="197" spans="2:65" s="6" customFormat="1" ht="39" customHeight="1" x14ac:dyDescent="0.3">
      <c r="B197" s="19"/>
      <c r="C197" s="104">
        <v>45</v>
      </c>
      <c r="D197" s="104" t="s">
        <v>116</v>
      </c>
      <c r="E197" s="105" t="s">
        <v>195</v>
      </c>
      <c r="F197" s="286" t="s">
        <v>196</v>
      </c>
      <c r="G197" s="285"/>
      <c r="H197" s="285"/>
      <c r="I197" s="285"/>
      <c r="J197" s="106" t="s">
        <v>162</v>
      </c>
      <c r="K197" s="107">
        <v>1.6E-2</v>
      </c>
      <c r="L197" s="287"/>
      <c r="M197" s="285"/>
      <c r="N197" s="287">
        <f>K197*L197</f>
        <v>0</v>
      </c>
      <c r="O197" s="285"/>
      <c r="P197" s="285"/>
      <c r="Q197" s="285"/>
      <c r="R197" s="20"/>
      <c r="T197" s="108"/>
      <c r="U197" s="26" t="s">
        <v>37</v>
      </c>
      <c r="V197" s="109">
        <v>6.6000000000000003E-2</v>
      </c>
      <c r="W197" s="109">
        <f>$V$197*$K$197</f>
        <v>1.0560000000000001E-3</v>
      </c>
      <c r="X197" s="109">
        <v>0</v>
      </c>
      <c r="Y197" s="109">
        <f>$X$197*$K$197</f>
        <v>0</v>
      </c>
      <c r="Z197" s="109">
        <v>0</v>
      </c>
      <c r="AA197" s="110">
        <f>$Z$197*$K$197</f>
        <v>0</v>
      </c>
      <c r="AC197" s="138"/>
      <c r="AD197" s="138"/>
      <c r="AE197" s="138"/>
      <c r="AF197" s="138"/>
      <c r="AG197" s="138"/>
      <c r="AH197" s="138"/>
      <c r="AI197" s="138"/>
      <c r="AJ197" s="138"/>
      <c r="AR197" s="6" t="s">
        <v>120</v>
      </c>
      <c r="AT197" s="6" t="s">
        <v>116</v>
      </c>
      <c r="AU197" s="6" t="s">
        <v>82</v>
      </c>
      <c r="AY197" s="6" t="s">
        <v>115</v>
      </c>
      <c r="BE197" s="111">
        <f>IF($U$197="základní",$N$197,0)</f>
        <v>0</v>
      </c>
      <c r="BF197" s="111">
        <f>IF($U$197="snížená",$N$197,0)</f>
        <v>0</v>
      </c>
      <c r="BG197" s="111">
        <f>IF($U$197="zákl. přenesená",$N$197,0)</f>
        <v>0</v>
      </c>
      <c r="BH197" s="111">
        <f>IF($U$197="sníž. přenesená",$N$197,0)</f>
        <v>0</v>
      </c>
      <c r="BI197" s="111">
        <f>IF($U$197="nulová",$N$197,0)</f>
        <v>0</v>
      </c>
      <c r="BJ197" s="6" t="s">
        <v>18</v>
      </c>
      <c r="BK197" s="112">
        <f>ROUND($L$197*$K$197,3)</f>
        <v>0</v>
      </c>
      <c r="BL197" s="6" t="s">
        <v>120</v>
      </c>
    </row>
    <row r="198" spans="2:65" s="94" customFormat="1" ht="30.75" customHeight="1" x14ac:dyDescent="0.3">
      <c r="B198" s="95"/>
      <c r="D198" s="197" t="s">
        <v>383</v>
      </c>
      <c r="N198" s="300">
        <f>SUM(N199:Q203)</f>
        <v>0</v>
      </c>
      <c r="O198" s="301"/>
      <c r="P198" s="301"/>
      <c r="Q198" s="301"/>
      <c r="R198" s="98"/>
      <c r="T198" s="99"/>
      <c r="W198" s="100">
        <f>SUM($W$199:$W$203)</f>
        <v>85.538362969000005</v>
      </c>
      <c r="Y198" s="100">
        <f>SUM($Y$199:$Y$203)</f>
        <v>32.058480000000003</v>
      </c>
      <c r="AA198" s="101">
        <f>SUM($AA$199:$AA$203)</f>
        <v>0</v>
      </c>
      <c r="AC198" s="140"/>
      <c r="AD198" s="140"/>
      <c r="AE198" s="140"/>
      <c r="AF198" s="140"/>
      <c r="AG198" s="140"/>
      <c r="AH198" s="140"/>
      <c r="AI198" s="140"/>
      <c r="AJ198" s="140"/>
      <c r="AR198" s="97" t="s">
        <v>18</v>
      </c>
      <c r="AT198" s="97" t="s">
        <v>71</v>
      </c>
      <c r="AU198" s="97" t="s">
        <v>18</v>
      </c>
      <c r="AY198" s="97" t="s">
        <v>115</v>
      </c>
      <c r="BK198" s="102">
        <f>SUM($BK$199:$BK$203)</f>
        <v>0</v>
      </c>
    </row>
    <row r="199" spans="2:65" s="6" customFormat="1" ht="39" customHeight="1" x14ac:dyDescent="0.3">
      <c r="B199" s="19"/>
      <c r="C199" s="104">
        <v>46</v>
      </c>
      <c r="D199" s="104" t="s">
        <v>116</v>
      </c>
      <c r="E199" s="105" t="s">
        <v>197</v>
      </c>
      <c r="F199" s="286" t="s">
        <v>198</v>
      </c>
      <c r="G199" s="285"/>
      <c r="H199" s="285"/>
      <c r="I199" s="285"/>
      <c r="J199" s="106" t="s">
        <v>150</v>
      </c>
      <c r="K199" s="107">
        <v>223</v>
      </c>
      <c r="L199" s="287"/>
      <c r="M199" s="285"/>
      <c r="N199" s="287">
        <f>K199*L199</f>
        <v>0</v>
      </c>
      <c r="O199" s="285"/>
      <c r="P199" s="285"/>
      <c r="Q199" s="285"/>
      <c r="R199" s="20"/>
      <c r="T199" s="108"/>
      <c r="U199" s="26" t="s">
        <v>37</v>
      </c>
      <c r="V199" s="109">
        <v>0.216</v>
      </c>
      <c r="W199" s="109">
        <f>$V$199*$K$199</f>
        <v>48.167999999999999</v>
      </c>
      <c r="X199" s="109">
        <v>0.12962000000000001</v>
      </c>
      <c r="Y199" s="109">
        <f>$X$199*$K$199</f>
        <v>28.905260000000002</v>
      </c>
      <c r="Z199" s="109">
        <v>0</v>
      </c>
      <c r="AA199" s="110">
        <f>$Z$199*$K$199</f>
        <v>0</v>
      </c>
      <c r="AC199" s="138"/>
      <c r="AD199" s="138"/>
      <c r="AE199" s="138"/>
      <c r="AF199" s="138"/>
      <c r="AG199" s="138"/>
      <c r="AH199" s="138"/>
      <c r="AI199" s="138"/>
      <c r="AJ199" s="138"/>
      <c r="AR199" s="6" t="s">
        <v>120</v>
      </c>
      <c r="AT199" s="6" t="s">
        <v>116</v>
      </c>
      <c r="AU199" s="6" t="s">
        <v>82</v>
      </c>
      <c r="AY199" s="6" t="s">
        <v>115</v>
      </c>
      <c r="BE199" s="111">
        <f>IF($U$199="základní",$N$199,0)</f>
        <v>0</v>
      </c>
      <c r="BF199" s="111">
        <f>IF($U$199="snížená",$N$199,0)</f>
        <v>0</v>
      </c>
      <c r="BG199" s="111">
        <f>IF($U$199="zákl. přenesená",$N$199,0)</f>
        <v>0</v>
      </c>
      <c r="BH199" s="111">
        <f>IF($U$199="sníž. přenesená",$N$199,0)</f>
        <v>0</v>
      </c>
      <c r="BI199" s="111">
        <f>IF($U$199="nulová",$N$199,0)</f>
        <v>0</v>
      </c>
      <c r="BJ199" s="6" t="s">
        <v>18</v>
      </c>
      <c r="BK199" s="112">
        <f>ROUND($L$199*$K$199,3)</f>
        <v>0</v>
      </c>
      <c r="BL199" s="6" t="s">
        <v>120</v>
      </c>
    </row>
    <row r="200" spans="2:65" s="6" customFormat="1" ht="27" customHeight="1" x14ac:dyDescent="0.3">
      <c r="B200" s="19"/>
      <c r="C200" s="125">
        <v>47</v>
      </c>
      <c r="D200" s="125" t="s">
        <v>180</v>
      </c>
      <c r="E200" s="126" t="s">
        <v>199</v>
      </c>
      <c r="F200" s="282" t="s">
        <v>384</v>
      </c>
      <c r="G200" s="283"/>
      <c r="H200" s="283"/>
      <c r="I200" s="283"/>
      <c r="J200" s="127" t="s">
        <v>150</v>
      </c>
      <c r="K200" s="128">
        <f>K201</f>
        <v>225.23</v>
      </c>
      <c r="L200" s="284"/>
      <c r="M200" s="283"/>
      <c r="N200" s="284">
        <f>K200*L200</f>
        <v>0</v>
      </c>
      <c r="O200" s="285"/>
      <c r="P200" s="285"/>
      <c r="Q200" s="285"/>
      <c r="R200" s="20"/>
      <c r="T200" s="108"/>
      <c r="U200" s="26" t="s">
        <v>37</v>
      </c>
      <c r="V200" s="109">
        <v>0</v>
      </c>
      <c r="W200" s="109">
        <f>$V$200*$K$200</f>
        <v>0</v>
      </c>
      <c r="X200" s="109">
        <v>1.4E-2</v>
      </c>
      <c r="Y200" s="109">
        <f>$X$200*$K$200</f>
        <v>3.1532200000000001</v>
      </c>
      <c r="Z200" s="109">
        <v>0</v>
      </c>
      <c r="AA200" s="110">
        <f>$Z$200*$K$200</f>
        <v>0</v>
      </c>
      <c r="AC200" s="138"/>
      <c r="AD200" s="138"/>
      <c r="AE200" s="138"/>
      <c r="AF200" s="138"/>
      <c r="AG200" s="138"/>
      <c r="AH200" s="138"/>
      <c r="AI200" s="138"/>
      <c r="AJ200" s="138"/>
      <c r="AR200" s="6" t="s">
        <v>139</v>
      </c>
      <c r="AT200" s="6" t="s">
        <v>180</v>
      </c>
      <c r="AU200" s="6" t="s">
        <v>82</v>
      </c>
      <c r="AY200" s="6" t="s">
        <v>115</v>
      </c>
      <c r="BE200" s="111">
        <f>IF($U$200="základní",$N$200,0)</f>
        <v>0</v>
      </c>
      <c r="BF200" s="111">
        <f>IF($U$200="snížená",$N$200,0)</f>
        <v>0</v>
      </c>
      <c r="BG200" s="111">
        <f>IF($U$200="zákl. přenesená",$N$200,0)</f>
        <v>0</v>
      </c>
      <c r="BH200" s="111">
        <f>IF($U$200="sníž. přenesená",$N$200,0)</f>
        <v>0</v>
      </c>
      <c r="BI200" s="111">
        <f>IF($U$200="nulová",$N$200,0)</f>
        <v>0</v>
      </c>
      <c r="BJ200" s="6" t="s">
        <v>18</v>
      </c>
      <c r="BK200" s="112">
        <f>ROUND($L$200*$K$200,3)</f>
        <v>0</v>
      </c>
      <c r="BL200" s="6" t="s">
        <v>120</v>
      </c>
    </row>
    <row r="201" spans="2:65" s="6" customFormat="1" ht="15.75" customHeight="1" x14ac:dyDescent="0.3">
      <c r="B201" s="113"/>
      <c r="E201" s="114"/>
      <c r="F201" s="308" t="s">
        <v>400</v>
      </c>
      <c r="G201" s="309"/>
      <c r="H201" s="309"/>
      <c r="I201" s="309"/>
      <c r="K201" s="115">
        <f>K199*1.01</f>
        <v>225.23</v>
      </c>
      <c r="R201" s="116"/>
      <c r="T201" s="117"/>
      <c r="AA201" s="118"/>
      <c r="AC201" s="138"/>
      <c r="AD201" s="138"/>
      <c r="AE201" s="138"/>
      <c r="AF201" s="138"/>
      <c r="AG201" s="138"/>
      <c r="AH201" s="138"/>
      <c r="AI201" s="138"/>
      <c r="AJ201" s="138"/>
      <c r="AT201" s="114" t="s">
        <v>128</v>
      </c>
      <c r="AU201" s="114" t="s">
        <v>82</v>
      </c>
      <c r="AV201" s="114" t="s">
        <v>82</v>
      </c>
      <c r="AW201" s="114" t="s">
        <v>88</v>
      </c>
      <c r="AX201" s="114" t="s">
        <v>18</v>
      </c>
      <c r="AY201" s="114" t="s">
        <v>115</v>
      </c>
    </row>
    <row r="202" spans="2:65" s="167" customFormat="1" ht="28.9" customHeight="1" x14ac:dyDescent="0.3">
      <c r="B202" s="168"/>
      <c r="C202" s="169">
        <v>48</v>
      </c>
      <c r="D202" s="169" t="s">
        <v>116</v>
      </c>
      <c r="E202" s="170" t="s">
        <v>181</v>
      </c>
      <c r="F202" s="297" t="s">
        <v>182</v>
      </c>
      <c r="G202" s="297"/>
      <c r="H202" s="297"/>
      <c r="I202" s="297"/>
      <c r="J202" s="171" t="s">
        <v>150</v>
      </c>
      <c r="K202" s="234">
        <f>K199</f>
        <v>223</v>
      </c>
      <c r="L202" s="298"/>
      <c r="M202" s="298"/>
      <c r="N202" s="298">
        <f>ROUND(L202*K202,3)</f>
        <v>0</v>
      </c>
      <c r="O202" s="298"/>
      <c r="P202" s="298"/>
      <c r="Q202" s="298"/>
      <c r="R202" s="173"/>
      <c r="T202" s="174" t="s">
        <v>293</v>
      </c>
      <c r="U202" s="175" t="s">
        <v>37</v>
      </c>
      <c r="V202" s="176">
        <v>6.7000000000000004E-2</v>
      </c>
      <c r="W202" s="176">
        <f>V202*K202</f>
        <v>14.941000000000001</v>
      </c>
      <c r="X202" s="176">
        <v>0</v>
      </c>
      <c r="Y202" s="176">
        <f>X202*K202</f>
        <v>0</v>
      </c>
      <c r="Z202" s="176">
        <v>0</v>
      </c>
      <c r="AA202" s="177">
        <f>Z202*K202</f>
        <v>0</v>
      </c>
      <c r="AR202" s="178" t="s">
        <v>120</v>
      </c>
      <c r="AT202" s="178" t="s">
        <v>116</v>
      </c>
      <c r="AU202" s="178" t="s">
        <v>82</v>
      </c>
      <c r="AY202" s="178" t="s">
        <v>115</v>
      </c>
      <c r="BE202" s="179">
        <f>IF(U202="základní",N202,0)</f>
        <v>0</v>
      </c>
      <c r="BF202" s="179">
        <f>IF(U202="snížená",N202,0)</f>
        <v>0</v>
      </c>
      <c r="BG202" s="179">
        <f>IF(U202="zákl. přenesená",N202,0)</f>
        <v>0</v>
      </c>
      <c r="BH202" s="179">
        <f>IF(U202="sníž. přenesená",N202,0)</f>
        <v>0</v>
      </c>
      <c r="BI202" s="179">
        <f>IF(U202="nulová",N202,0)</f>
        <v>0</v>
      </c>
      <c r="BJ202" s="178" t="s">
        <v>18</v>
      </c>
      <c r="BK202" s="180">
        <f>ROUND(L202*K202,3)</f>
        <v>0</v>
      </c>
      <c r="BL202" s="178" t="s">
        <v>120</v>
      </c>
      <c r="BM202" s="178" t="s">
        <v>311</v>
      </c>
    </row>
    <row r="203" spans="2:65" s="6" customFormat="1" ht="27" customHeight="1" x14ac:dyDescent="0.3">
      <c r="B203" s="19"/>
      <c r="C203" s="104">
        <v>49</v>
      </c>
      <c r="D203" s="104" t="s">
        <v>116</v>
      </c>
      <c r="E203" s="105" t="s">
        <v>183</v>
      </c>
      <c r="F203" s="286" t="s">
        <v>184</v>
      </c>
      <c r="G203" s="285"/>
      <c r="H203" s="285"/>
      <c r="I203" s="285"/>
      <c r="J203" s="106" t="s">
        <v>162</v>
      </c>
      <c r="K203" s="107">
        <f>K199*0.2578977</f>
        <v>57.511187100000001</v>
      </c>
      <c r="L203" s="287"/>
      <c r="M203" s="285"/>
      <c r="N203" s="287">
        <f>K203*L203</f>
        <v>0</v>
      </c>
      <c r="O203" s="285"/>
      <c r="P203" s="285"/>
      <c r="Q203" s="285"/>
      <c r="R203" s="20"/>
      <c r="T203" s="108"/>
      <c r="U203" s="26" t="s">
        <v>37</v>
      </c>
      <c r="V203" s="109">
        <v>0.39</v>
      </c>
      <c r="W203" s="109">
        <f>$V$203*$K$203</f>
        <v>22.429362969</v>
      </c>
      <c r="X203" s="109">
        <v>0</v>
      </c>
      <c r="Y203" s="109">
        <f>$X$203*$K$203</f>
        <v>0</v>
      </c>
      <c r="Z203" s="109">
        <v>0</v>
      </c>
      <c r="AA203" s="110">
        <f>$Z$203*$K$203</f>
        <v>0</v>
      </c>
      <c r="AC203" s="138"/>
      <c r="AD203" s="138"/>
      <c r="AE203" s="138"/>
      <c r="AF203" s="138"/>
      <c r="AG203" s="138"/>
      <c r="AH203" s="138"/>
      <c r="AI203" s="138"/>
      <c r="AJ203" s="138"/>
      <c r="AR203" s="6" t="s">
        <v>120</v>
      </c>
      <c r="AT203" s="6" t="s">
        <v>116</v>
      </c>
      <c r="AU203" s="6" t="s">
        <v>82</v>
      </c>
      <c r="AY203" s="6" t="s">
        <v>115</v>
      </c>
      <c r="BE203" s="111">
        <f>IF($U$203="základní",$N$203,0)</f>
        <v>0</v>
      </c>
      <c r="BF203" s="111">
        <f>IF($U$203="snížená",$N$203,0)</f>
        <v>0</v>
      </c>
      <c r="BG203" s="111">
        <f>IF($U$203="zákl. přenesená",$N$203,0)</f>
        <v>0</v>
      </c>
      <c r="BH203" s="111">
        <f>IF($U$203="sníž. přenesená",$N$203,0)</f>
        <v>0</v>
      </c>
      <c r="BI203" s="111">
        <f>IF($U$203="nulová",$N$203,0)</f>
        <v>0</v>
      </c>
      <c r="BJ203" s="6" t="s">
        <v>18</v>
      </c>
      <c r="BK203" s="112">
        <f>ROUND($L$203*$K$203,3)</f>
        <v>0</v>
      </c>
      <c r="BL203" s="6" t="s">
        <v>120</v>
      </c>
    </row>
    <row r="204" spans="2:65" s="94" customFormat="1" ht="30.75" customHeight="1" x14ac:dyDescent="0.3">
      <c r="B204" s="95"/>
      <c r="C204" s="218"/>
      <c r="D204" s="219" t="s">
        <v>331</v>
      </c>
      <c r="E204" s="218"/>
      <c r="F204" s="218"/>
      <c r="G204" s="218"/>
      <c r="H204" s="218"/>
      <c r="I204" s="218"/>
      <c r="J204" s="218"/>
      <c r="K204" s="218"/>
      <c r="L204" s="218"/>
      <c r="M204" s="218"/>
      <c r="N204" s="303">
        <f>SUM(N205:Q210)</f>
        <v>0</v>
      </c>
      <c r="O204" s="304"/>
      <c r="P204" s="304"/>
      <c r="Q204" s="304"/>
      <c r="R204" s="98"/>
      <c r="T204" s="99"/>
      <c r="W204" s="100">
        <f>SUM($W$205:$W$210)</f>
        <v>1027.7405995189888</v>
      </c>
      <c r="Y204" s="100">
        <f>SUM($Y$205:$Y$210)</f>
        <v>391.87868752941176</v>
      </c>
      <c r="AA204" s="101">
        <f>SUM($AA$205:$AA$210)</f>
        <v>0</v>
      </c>
      <c r="AC204" s="140"/>
      <c r="AD204" s="140"/>
      <c r="AE204" s="140"/>
      <c r="AF204" s="140"/>
      <c r="AG204" s="140"/>
      <c r="AH204" s="140"/>
      <c r="AI204" s="140"/>
      <c r="AJ204" s="140"/>
      <c r="AR204" s="97" t="s">
        <v>18</v>
      </c>
      <c r="AT204" s="97" t="s">
        <v>71</v>
      </c>
      <c r="AU204" s="97" t="s">
        <v>18</v>
      </c>
      <c r="AY204" s="97" t="s">
        <v>115</v>
      </c>
      <c r="BK204" s="102">
        <f>SUM($BK$205:$BK$210)</f>
        <v>0</v>
      </c>
    </row>
    <row r="205" spans="2:65" s="6" customFormat="1" ht="27" customHeight="1" x14ac:dyDescent="0.3">
      <c r="B205" s="19"/>
      <c r="C205" s="221">
        <v>50</v>
      </c>
      <c r="D205" s="221" t="s">
        <v>116</v>
      </c>
      <c r="E205" s="181" t="s">
        <v>200</v>
      </c>
      <c r="F205" s="302" t="s">
        <v>201</v>
      </c>
      <c r="G205" s="291"/>
      <c r="H205" s="291"/>
      <c r="I205" s="291"/>
      <c r="J205" s="227" t="s">
        <v>135</v>
      </c>
      <c r="K205" s="237">
        <v>597.88</v>
      </c>
      <c r="L205" s="293"/>
      <c r="M205" s="291"/>
      <c r="N205" s="293">
        <f>K205*L205</f>
        <v>0</v>
      </c>
      <c r="O205" s="291"/>
      <c r="P205" s="291"/>
      <c r="Q205" s="291"/>
      <c r="R205" s="20"/>
      <c r="T205" s="108"/>
      <c r="U205" s="26" t="s">
        <v>37</v>
      </c>
      <c r="V205" s="109">
        <v>1.3740000000000001</v>
      </c>
      <c r="W205" s="109">
        <f>$V$205*$K$205</f>
        <v>821.48712</v>
      </c>
      <c r="X205" s="109">
        <v>0.16700000000000001</v>
      </c>
      <c r="Y205" s="109">
        <f>$X$205*$K$205</f>
        <v>99.845960000000005</v>
      </c>
      <c r="Z205" s="109">
        <v>0</v>
      </c>
      <c r="AA205" s="110">
        <f>$Z$205*$K$205</f>
        <v>0</v>
      </c>
      <c r="AC205" s="138"/>
      <c r="AD205" s="138"/>
      <c r="AE205" s="138"/>
      <c r="AF205" s="138"/>
      <c r="AG205" s="138"/>
      <c r="AH205" s="138"/>
      <c r="AI205" s="138"/>
      <c r="AJ205" s="138"/>
      <c r="AR205" s="6" t="s">
        <v>120</v>
      </c>
      <c r="AT205" s="6" t="s">
        <v>116</v>
      </c>
      <c r="AU205" s="6" t="s">
        <v>82</v>
      </c>
      <c r="AY205" s="6" t="s">
        <v>115</v>
      </c>
      <c r="BE205" s="111">
        <f>IF($U$205="základní",$N$205,0)</f>
        <v>0</v>
      </c>
      <c r="BF205" s="111">
        <f>IF($U$205="snížená",$N$205,0)</f>
        <v>0</v>
      </c>
      <c r="BG205" s="111">
        <f>IF($U$205="zákl. přenesená",$N$205,0)</f>
        <v>0</v>
      </c>
      <c r="BH205" s="111">
        <f>IF($U$205="sníž. přenesená",$N$205,0)</f>
        <v>0</v>
      </c>
      <c r="BI205" s="111">
        <f>IF($U$205="nulová",$N$205,0)</f>
        <v>0</v>
      </c>
      <c r="BJ205" s="6" t="s">
        <v>18</v>
      </c>
      <c r="BK205" s="112">
        <f>ROUND($L$205*$K$205,3)</f>
        <v>0</v>
      </c>
      <c r="BL205" s="6" t="s">
        <v>120</v>
      </c>
    </row>
    <row r="206" spans="2:65" s="6" customFormat="1" ht="26.25" customHeight="1" x14ac:dyDescent="0.3">
      <c r="B206" s="19"/>
      <c r="C206" s="157">
        <v>51</v>
      </c>
      <c r="D206" s="157" t="s">
        <v>180</v>
      </c>
      <c r="E206" s="158" t="s">
        <v>202</v>
      </c>
      <c r="F206" s="332" t="s">
        <v>386</v>
      </c>
      <c r="G206" s="290"/>
      <c r="H206" s="290"/>
      <c r="I206" s="290"/>
      <c r="J206" s="159" t="s">
        <v>162</v>
      </c>
      <c r="K206" s="236">
        <f>K207</f>
        <v>70.338823529411769</v>
      </c>
      <c r="L206" s="289"/>
      <c r="M206" s="290"/>
      <c r="N206" s="289">
        <f>K206*L206</f>
        <v>0</v>
      </c>
      <c r="O206" s="291"/>
      <c r="P206" s="291"/>
      <c r="Q206" s="291"/>
      <c r="R206" s="20"/>
      <c r="T206" s="108"/>
      <c r="U206" s="26" t="s">
        <v>37</v>
      </c>
      <c r="V206" s="109">
        <v>0</v>
      </c>
      <c r="W206" s="109">
        <f>$V$206*$K$206</f>
        <v>0</v>
      </c>
      <c r="X206" s="109">
        <v>1</v>
      </c>
      <c r="Y206" s="109">
        <f>$X$206*$K$206</f>
        <v>70.338823529411769</v>
      </c>
      <c r="Z206" s="109">
        <v>0</v>
      </c>
      <c r="AA206" s="110">
        <f>$Z$206*$K$206</f>
        <v>0</v>
      </c>
      <c r="AC206" s="138"/>
      <c r="AD206" s="138"/>
      <c r="AE206" s="138"/>
      <c r="AF206" s="138"/>
      <c r="AG206" s="138"/>
      <c r="AH206" s="138"/>
      <c r="AI206" s="138"/>
      <c r="AJ206" s="138"/>
      <c r="AR206" s="6" t="s">
        <v>203</v>
      </c>
      <c r="AT206" s="6" t="s">
        <v>180</v>
      </c>
      <c r="AU206" s="6" t="s">
        <v>82</v>
      </c>
      <c r="AY206" s="6" t="s">
        <v>115</v>
      </c>
      <c r="BE206" s="111">
        <f>IF($U$206="základní",$N$206,0)</f>
        <v>0</v>
      </c>
      <c r="BF206" s="111">
        <f>IF($U$206="snížená",$N$206,0)</f>
        <v>0</v>
      </c>
      <c r="BG206" s="111">
        <f>IF($U$206="zákl. přenesená",$N$206,0)</f>
        <v>0</v>
      </c>
      <c r="BH206" s="111">
        <f>IF($U$206="sníž. přenesená",$N$206,0)</f>
        <v>0</v>
      </c>
      <c r="BI206" s="111">
        <f>IF($U$206="nulová",$N$206,0)</f>
        <v>0</v>
      </c>
      <c r="BJ206" s="6" t="s">
        <v>18</v>
      </c>
      <c r="BK206" s="112">
        <f>ROUND($L$206*$K$206,3)</f>
        <v>0</v>
      </c>
      <c r="BL206" s="6" t="s">
        <v>203</v>
      </c>
    </row>
    <row r="207" spans="2:65" s="6" customFormat="1" ht="15.75" customHeight="1" x14ac:dyDescent="0.3">
      <c r="B207" s="113"/>
      <c r="C207" s="240"/>
      <c r="D207" s="240"/>
      <c r="E207" s="241"/>
      <c r="F207" s="333" t="s">
        <v>289</v>
      </c>
      <c r="G207" s="334"/>
      <c r="H207" s="334"/>
      <c r="I207" s="334"/>
      <c r="J207" s="240"/>
      <c r="K207" s="242">
        <f>K205/8.5</f>
        <v>70.338823529411769</v>
      </c>
      <c r="L207" s="240"/>
      <c r="M207" s="240"/>
      <c r="N207" s="240"/>
      <c r="O207" s="240"/>
      <c r="P207" s="240"/>
      <c r="Q207" s="240"/>
      <c r="R207" s="116"/>
      <c r="T207" s="117"/>
      <c r="AA207" s="118"/>
      <c r="AC207" s="138"/>
      <c r="AD207" s="138"/>
      <c r="AE207" s="138"/>
      <c r="AF207" s="138"/>
      <c r="AG207" s="138"/>
      <c r="AH207" s="138"/>
      <c r="AI207" s="138"/>
      <c r="AJ207" s="138"/>
      <c r="AT207" s="114" t="s">
        <v>128</v>
      </c>
      <c r="AU207" s="114" t="s">
        <v>82</v>
      </c>
      <c r="AV207" s="114" t="s">
        <v>82</v>
      </c>
      <c r="AW207" s="114" t="s">
        <v>88</v>
      </c>
      <c r="AX207" s="114" t="s">
        <v>18</v>
      </c>
      <c r="AY207" s="114" t="s">
        <v>115</v>
      </c>
    </row>
    <row r="208" spans="2:65" s="235" customFormat="1" ht="24.75" customHeight="1" x14ac:dyDescent="0.3">
      <c r="B208" s="19"/>
      <c r="C208" s="221">
        <v>52</v>
      </c>
      <c r="D208" s="221" t="s">
        <v>116</v>
      </c>
      <c r="E208" s="105" t="s">
        <v>153</v>
      </c>
      <c r="F208" s="286" t="s">
        <v>388</v>
      </c>
      <c r="G208" s="285"/>
      <c r="H208" s="285"/>
      <c r="I208" s="285"/>
      <c r="J208" s="227" t="s">
        <v>135</v>
      </c>
      <c r="K208" s="237">
        <f>K205</f>
        <v>597.88</v>
      </c>
      <c r="L208" s="293"/>
      <c r="M208" s="291"/>
      <c r="N208" s="293">
        <f t="shared" ref="N208" si="20">K208*L208</f>
        <v>0</v>
      </c>
      <c r="O208" s="291"/>
      <c r="P208" s="291"/>
      <c r="Q208" s="291"/>
      <c r="R208" s="20"/>
      <c r="T208" s="108"/>
      <c r="U208" s="26" t="s">
        <v>37</v>
      </c>
      <c r="V208" s="109">
        <v>0.13600000000000001</v>
      </c>
      <c r="W208" s="109">
        <f>$V$159*$K$159</f>
        <v>36.077672</v>
      </c>
      <c r="X208" s="109">
        <v>0</v>
      </c>
      <c r="Y208" s="109">
        <f>$X$159*$K$159</f>
        <v>0</v>
      </c>
      <c r="Z208" s="109">
        <v>0</v>
      </c>
      <c r="AA208" s="110">
        <f>$Z$159*$K$159</f>
        <v>0</v>
      </c>
      <c r="AC208" s="142"/>
      <c r="AD208" s="138"/>
      <c r="AE208" s="144"/>
      <c r="AF208" s="138"/>
      <c r="AG208" s="138"/>
      <c r="AH208" s="138"/>
      <c r="AI208" s="138"/>
      <c r="AJ208" s="138"/>
      <c r="AR208" s="235" t="s">
        <v>120</v>
      </c>
      <c r="AT208" s="235" t="s">
        <v>116</v>
      </c>
      <c r="AU208" s="235" t="s">
        <v>82</v>
      </c>
      <c r="AY208" s="235" t="s">
        <v>115</v>
      </c>
      <c r="BE208" s="111">
        <f>IF($U$159="základní",$N$159,0)</f>
        <v>0</v>
      </c>
      <c r="BF208" s="111">
        <f>IF($U$159="snížená",$N$159,0)</f>
        <v>0</v>
      </c>
      <c r="BG208" s="111">
        <f>IF($U$159="zákl. přenesená",$N$159,0)</f>
        <v>0</v>
      </c>
      <c r="BH208" s="111">
        <f>IF($U$159="sníž. přenesená",$N$159,0)</f>
        <v>0</v>
      </c>
      <c r="BI208" s="111">
        <f>IF($U$159="nulová",$N$159,0)</f>
        <v>0</v>
      </c>
      <c r="BJ208" s="235" t="s">
        <v>18</v>
      </c>
      <c r="BK208" s="112">
        <f>ROUND($L$159*$K$159,3)</f>
        <v>0</v>
      </c>
      <c r="BL208" s="235" t="s">
        <v>120</v>
      </c>
    </row>
    <row r="209" spans="2:64" s="6" customFormat="1" ht="15.75" customHeight="1" x14ac:dyDescent="0.3">
      <c r="B209" s="19"/>
      <c r="C209" s="221">
        <v>53</v>
      </c>
      <c r="D209" s="221" t="s">
        <v>116</v>
      </c>
      <c r="E209" s="181" t="s">
        <v>204</v>
      </c>
      <c r="F209" s="302" t="s">
        <v>205</v>
      </c>
      <c r="G209" s="291"/>
      <c r="H209" s="291"/>
      <c r="I209" s="291"/>
      <c r="J209" s="227" t="s">
        <v>135</v>
      </c>
      <c r="K209" s="237">
        <f>K205</f>
        <v>597.88</v>
      </c>
      <c r="L209" s="293"/>
      <c r="M209" s="291"/>
      <c r="N209" s="293">
        <f>K209*L209</f>
        <v>0</v>
      </c>
      <c r="O209" s="291"/>
      <c r="P209" s="291"/>
      <c r="Q209" s="291"/>
      <c r="R209" s="20"/>
      <c r="T209" s="108"/>
      <c r="U209" s="26" t="s">
        <v>37</v>
      </c>
      <c r="V209" s="109">
        <v>2.9000000000000001E-2</v>
      </c>
      <c r="W209" s="109">
        <f>$V$209*$K$209</f>
        <v>17.338519999999999</v>
      </c>
      <c r="X209" s="109">
        <v>0.37080000000000002</v>
      </c>
      <c r="Y209" s="109">
        <f>$X$209*$K$209</f>
        <v>221.693904</v>
      </c>
      <c r="Z209" s="109">
        <v>0</v>
      </c>
      <c r="AA209" s="110">
        <f>$Z$209*$K$209</f>
        <v>0</v>
      </c>
      <c r="AC209" s="138"/>
      <c r="AD209" s="138"/>
      <c r="AE209" s="138"/>
      <c r="AF209" s="138"/>
      <c r="AG209" s="138"/>
      <c r="AH209" s="138"/>
      <c r="AI209" s="138"/>
      <c r="AJ209" s="138"/>
      <c r="AR209" s="6" t="s">
        <v>120</v>
      </c>
      <c r="AT209" s="6" t="s">
        <v>116</v>
      </c>
      <c r="AU209" s="6" t="s">
        <v>82</v>
      </c>
      <c r="AY209" s="6" t="s">
        <v>115</v>
      </c>
      <c r="BE209" s="111">
        <f>IF($U$209="základní",$N$209,0)</f>
        <v>0</v>
      </c>
      <c r="BF209" s="111">
        <f>IF($U$209="snížená",$N$209,0)</f>
        <v>0</v>
      </c>
      <c r="BG209" s="111">
        <f>IF($U$209="zákl. přenesená",$N$209,0)</f>
        <v>0</v>
      </c>
      <c r="BH209" s="111">
        <f>IF($U$209="sníž. přenesená",$N$209,0)</f>
        <v>0</v>
      </c>
      <c r="BI209" s="111">
        <f>IF($U$209="nulová",$N$209,0)</f>
        <v>0</v>
      </c>
      <c r="BJ209" s="6" t="s">
        <v>18</v>
      </c>
      <c r="BK209" s="112">
        <f>ROUND($L$209*$K$209,3)</f>
        <v>0</v>
      </c>
      <c r="BL209" s="6" t="s">
        <v>120</v>
      </c>
    </row>
    <row r="210" spans="2:64" s="6" customFormat="1" ht="27" customHeight="1" x14ac:dyDescent="0.3">
      <c r="B210" s="19"/>
      <c r="C210" s="221">
        <v>54</v>
      </c>
      <c r="D210" s="221" t="s">
        <v>116</v>
      </c>
      <c r="E210" s="181" t="s">
        <v>183</v>
      </c>
      <c r="F210" s="302" t="s">
        <v>184</v>
      </c>
      <c r="G210" s="291"/>
      <c r="H210" s="291"/>
      <c r="I210" s="291"/>
      <c r="J210" s="227" t="s">
        <v>162</v>
      </c>
      <c r="K210" s="237">
        <f>K205*0.655466784</f>
        <v>391.89048081792004</v>
      </c>
      <c r="L210" s="293"/>
      <c r="M210" s="291"/>
      <c r="N210" s="293">
        <f>K210*L210</f>
        <v>0</v>
      </c>
      <c r="O210" s="291"/>
      <c r="P210" s="291"/>
      <c r="Q210" s="291"/>
      <c r="R210" s="20"/>
      <c r="T210" s="108"/>
      <c r="U210" s="26" t="s">
        <v>37</v>
      </c>
      <c r="V210" s="109">
        <v>0.39</v>
      </c>
      <c r="W210" s="109">
        <f>$V$210*$K$210</f>
        <v>152.83728751898883</v>
      </c>
      <c r="X210" s="109">
        <v>0</v>
      </c>
      <c r="Y210" s="109">
        <f>$X$210*$K$210</f>
        <v>0</v>
      </c>
      <c r="Z210" s="109">
        <v>0</v>
      </c>
      <c r="AA210" s="110">
        <f>$Z$210*$K$210</f>
        <v>0</v>
      </c>
      <c r="AC210" s="138"/>
      <c r="AD210" s="138"/>
      <c r="AE210" s="138"/>
      <c r="AF210" s="138"/>
      <c r="AG210" s="138"/>
      <c r="AH210" s="138"/>
      <c r="AI210" s="138"/>
      <c r="AJ210" s="138"/>
      <c r="AR210" s="6" t="s">
        <v>120</v>
      </c>
      <c r="AT210" s="6" t="s">
        <v>116</v>
      </c>
      <c r="AU210" s="6" t="s">
        <v>82</v>
      </c>
      <c r="AY210" s="6" t="s">
        <v>115</v>
      </c>
      <c r="BE210" s="111">
        <f>IF($U$210="základní",$N$210,0)</f>
        <v>0</v>
      </c>
      <c r="BF210" s="111">
        <f>IF($U$210="snížená",$N$210,0)</f>
        <v>0</v>
      </c>
      <c r="BG210" s="111">
        <f>IF($U$210="zákl. přenesená",$N$210,0)</f>
        <v>0</v>
      </c>
      <c r="BH210" s="111">
        <f>IF($U$210="sníž. přenesená",$N$210,0)</f>
        <v>0</v>
      </c>
      <c r="BI210" s="111">
        <f>IF($U$210="nulová",$N$210,0)</f>
        <v>0</v>
      </c>
      <c r="BJ210" s="6" t="s">
        <v>18</v>
      </c>
      <c r="BK210" s="112">
        <f>ROUND($L$210*$K$210,3)</f>
        <v>0</v>
      </c>
      <c r="BL210" s="6" t="s">
        <v>120</v>
      </c>
    </row>
    <row r="211" spans="2:64" s="94" customFormat="1" ht="30.75" customHeight="1" x14ac:dyDescent="0.3">
      <c r="B211" s="95"/>
      <c r="D211" s="197" t="s">
        <v>332</v>
      </c>
      <c r="N211" s="300">
        <f>SUM(N212:Q215)</f>
        <v>0</v>
      </c>
      <c r="O211" s="301"/>
      <c r="P211" s="301"/>
      <c r="Q211" s="301"/>
      <c r="R211" s="98"/>
      <c r="T211" s="99"/>
      <c r="W211" s="100">
        <f>SUM($W$212:$W$215)</f>
        <v>49.844147092679499</v>
      </c>
      <c r="Y211" s="100">
        <f>SUM($Y$212:$Y$215)</f>
        <v>21.7126877</v>
      </c>
      <c r="AA211" s="101">
        <f>SUM($AA$212:$AA$215)</f>
        <v>0</v>
      </c>
      <c r="AC211" s="140"/>
      <c r="AD211" s="140"/>
      <c r="AE211" s="140"/>
      <c r="AF211" s="140"/>
      <c r="AG211" s="140"/>
      <c r="AH211" s="140"/>
      <c r="AI211" s="140"/>
      <c r="AJ211" s="140"/>
      <c r="AR211" s="97" t="s">
        <v>18</v>
      </c>
      <c r="AT211" s="97" t="s">
        <v>71</v>
      </c>
      <c r="AU211" s="97" t="s">
        <v>18</v>
      </c>
      <c r="AY211" s="97" t="s">
        <v>115</v>
      </c>
      <c r="BK211" s="102">
        <f>SUM($BK$212:$BK$215)</f>
        <v>0</v>
      </c>
    </row>
    <row r="212" spans="2:64" s="6" customFormat="1" ht="27" customHeight="1" x14ac:dyDescent="0.3">
      <c r="B212" s="19"/>
      <c r="C212" s="104">
        <v>55</v>
      </c>
      <c r="D212" s="104" t="s">
        <v>116</v>
      </c>
      <c r="E212" s="105" t="s">
        <v>186</v>
      </c>
      <c r="F212" s="286" t="s">
        <v>264</v>
      </c>
      <c r="G212" s="285"/>
      <c r="H212" s="285"/>
      <c r="I212" s="285"/>
      <c r="J212" s="106" t="s">
        <v>135</v>
      </c>
      <c r="K212" s="107">
        <f>27.83</f>
        <v>27.83</v>
      </c>
      <c r="L212" s="287"/>
      <c r="M212" s="285"/>
      <c r="N212" s="287">
        <f>K212*L212</f>
        <v>0</v>
      </c>
      <c r="O212" s="285"/>
      <c r="P212" s="285"/>
      <c r="Q212" s="285"/>
      <c r="R212" s="20"/>
      <c r="T212" s="108"/>
      <c r="U212" s="26" t="s">
        <v>37</v>
      </c>
      <c r="V212" s="109">
        <v>1.4410000000000001</v>
      </c>
      <c r="W212" s="109">
        <f>$V$212*$K$212</f>
        <v>40.103029999999997</v>
      </c>
      <c r="X212" s="109">
        <v>0.19536000000000001</v>
      </c>
      <c r="Y212" s="109">
        <f>$X$212*$K$212</f>
        <v>5.4368688000000001</v>
      </c>
      <c r="Z212" s="109">
        <v>0</v>
      </c>
      <c r="AA212" s="110">
        <f>$Z$212*$K$212</f>
        <v>0</v>
      </c>
      <c r="AC212" s="138"/>
      <c r="AD212" s="138"/>
      <c r="AE212" s="138"/>
      <c r="AF212" s="138"/>
      <c r="AG212" s="138"/>
      <c r="AH212" s="138"/>
      <c r="AI212" s="138"/>
      <c r="AJ212" s="138"/>
      <c r="AR212" s="6" t="s">
        <v>120</v>
      </c>
      <c r="AT212" s="6" t="s">
        <v>116</v>
      </c>
      <c r="AU212" s="6" t="s">
        <v>82</v>
      </c>
      <c r="AY212" s="6" t="s">
        <v>115</v>
      </c>
      <c r="BE212" s="111">
        <f>IF($U$212="základní",$N$212,0)</f>
        <v>0</v>
      </c>
      <c r="BF212" s="111">
        <f>IF($U$212="snížená",$N$212,0)</f>
        <v>0</v>
      </c>
      <c r="BG212" s="111">
        <f>IF($U$212="zákl. přenesená",$N$212,0)</f>
        <v>0</v>
      </c>
      <c r="BH212" s="111">
        <f>IF($U$212="sníž. přenesená",$N$212,0)</f>
        <v>0</v>
      </c>
      <c r="BI212" s="111">
        <f>IF($U$212="nulová",$N$212,0)</f>
        <v>0</v>
      </c>
      <c r="BJ212" s="6" t="s">
        <v>18</v>
      </c>
      <c r="BK212" s="112">
        <f>ROUND($L$212*$K$212,3)</f>
        <v>0</v>
      </c>
      <c r="BL212" s="6" t="s">
        <v>120</v>
      </c>
    </row>
    <row r="213" spans="2:64" s="6" customFormat="1" ht="15.75" customHeight="1" x14ac:dyDescent="0.3">
      <c r="B213" s="19"/>
      <c r="C213" s="125">
        <v>56</v>
      </c>
      <c r="D213" s="125" t="s">
        <v>180</v>
      </c>
      <c r="E213" s="126" t="s">
        <v>206</v>
      </c>
      <c r="F213" s="282" t="s">
        <v>271</v>
      </c>
      <c r="G213" s="283"/>
      <c r="H213" s="283"/>
      <c r="I213" s="283"/>
      <c r="J213" s="127" t="s">
        <v>135</v>
      </c>
      <c r="K213" s="128">
        <f>K212*1.01</f>
        <v>28.1083</v>
      </c>
      <c r="L213" s="284"/>
      <c r="M213" s="283"/>
      <c r="N213" s="284">
        <f>K213*L213</f>
        <v>0</v>
      </c>
      <c r="O213" s="285"/>
      <c r="P213" s="285"/>
      <c r="Q213" s="285"/>
      <c r="R213" s="20"/>
      <c r="T213" s="108"/>
      <c r="U213" s="26" t="s">
        <v>37</v>
      </c>
      <c r="V213" s="109">
        <v>0</v>
      </c>
      <c r="W213" s="109">
        <f>$V$213*$K$213</f>
        <v>0</v>
      </c>
      <c r="X213" s="109">
        <v>6.6000000000000003E-2</v>
      </c>
      <c r="Y213" s="109">
        <f>$X$213*$K$213</f>
        <v>1.8551478000000001</v>
      </c>
      <c r="Z213" s="109">
        <v>0</v>
      </c>
      <c r="AA213" s="110">
        <f>$Z$213*$K$213</f>
        <v>0</v>
      </c>
      <c r="AC213" s="138"/>
      <c r="AD213" s="138"/>
      <c r="AE213" s="138"/>
      <c r="AF213" s="138"/>
      <c r="AG213" s="138"/>
      <c r="AH213" s="138"/>
      <c r="AI213" s="138"/>
      <c r="AJ213" s="138"/>
      <c r="AR213" s="6" t="s">
        <v>139</v>
      </c>
      <c r="AT213" s="6" t="s">
        <v>180</v>
      </c>
      <c r="AU213" s="6" t="s">
        <v>82</v>
      </c>
      <c r="AY213" s="6" t="s">
        <v>115</v>
      </c>
      <c r="BE213" s="111">
        <f>IF($U$213="základní",$N$213,0)</f>
        <v>0</v>
      </c>
      <c r="BF213" s="111">
        <f>IF($U$213="snížená",$N$213,0)</f>
        <v>0</v>
      </c>
      <c r="BG213" s="111">
        <f>IF($U$213="zákl. přenesená",$N$213,0)</f>
        <v>0</v>
      </c>
      <c r="BH213" s="111">
        <f>IF($U$213="sníž. přenesená",$N$213,0)</f>
        <v>0</v>
      </c>
      <c r="BI213" s="111">
        <f>IF($U$213="nulová",$N$213,0)</f>
        <v>0</v>
      </c>
      <c r="BJ213" s="6" t="s">
        <v>18</v>
      </c>
      <c r="BK213" s="112">
        <f>ROUND($L$213*$K$213,3)</f>
        <v>0</v>
      </c>
      <c r="BL213" s="6" t="s">
        <v>120</v>
      </c>
    </row>
    <row r="214" spans="2:64" s="6" customFormat="1" ht="27" customHeight="1" x14ac:dyDescent="0.3">
      <c r="B214" s="19"/>
      <c r="C214" s="104">
        <v>57</v>
      </c>
      <c r="D214" s="104" t="s">
        <v>116</v>
      </c>
      <c r="E214" s="105" t="s">
        <v>187</v>
      </c>
      <c r="F214" s="286" t="s">
        <v>188</v>
      </c>
      <c r="G214" s="285"/>
      <c r="H214" s="285"/>
      <c r="I214" s="285"/>
      <c r="J214" s="106" t="s">
        <v>135</v>
      </c>
      <c r="K214" s="107">
        <f>K212</f>
        <v>27.83</v>
      </c>
      <c r="L214" s="287"/>
      <c r="M214" s="285"/>
      <c r="N214" s="287">
        <f>K214*L214</f>
        <v>0</v>
      </c>
      <c r="O214" s="285"/>
      <c r="P214" s="285"/>
      <c r="Q214" s="285"/>
      <c r="R214" s="20"/>
      <c r="T214" s="108"/>
      <c r="U214" s="26" t="s">
        <v>37</v>
      </c>
      <c r="V214" s="109">
        <v>4.5999999999999999E-2</v>
      </c>
      <c r="W214" s="109">
        <f>$V$214*$K$214</f>
        <v>1.2801799999999999</v>
      </c>
      <c r="X214" s="109">
        <v>0.51817000000000002</v>
      </c>
      <c r="Y214" s="109">
        <f>$X$214*$K$214</f>
        <v>14.4206711</v>
      </c>
      <c r="Z214" s="109">
        <v>0</v>
      </c>
      <c r="AA214" s="110">
        <f>$Z$214*$K$214</f>
        <v>0</v>
      </c>
      <c r="AC214" s="138"/>
      <c r="AD214" s="138"/>
      <c r="AE214" s="138"/>
      <c r="AF214" s="138"/>
      <c r="AG214" s="138"/>
      <c r="AH214" s="138"/>
      <c r="AI214" s="138"/>
      <c r="AJ214" s="138"/>
      <c r="AR214" s="6" t="s">
        <v>120</v>
      </c>
      <c r="AT214" s="6" t="s">
        <v>116</v>
      </c>
      <c r="AU214" s="6" t="s">
        <v>82</v>
      </c>
      <c r="AY214" s="6" t="s">
        <v>115</v>
      </c>
      <c r="BE214" s="111">
        <f>IF($U$214="základní",$N$214,0)</f>
        <v>0</v>
      </c>
      <c r="BF214" s="111">
        <f>IF($U$214="snížená",$N$214,0)</f>
        <v>0</v>
      </c>
      <c r="BG214" s="111">
        <f>IF($U$214="zákl. přenesená",$N$214,0)</f>
        <v>0</v>
      </c>
      <c r="BH214" s="111">
        <f>IF($U$214="sníž. přenesená",$N$214,0)</f>
        <v>0</v>
      </c>
      <c r="BI214" s="111">
        <f>IF($U$214="nulová",$N$214,0)</f>
        <v>0</v>
      </c>
      <c r="BJ214" s="6" t="s">
        <v>18</v>
      </c>
      <c r="BK214" s="112">
        <f>ROUND($L$214*$K$214,3)</f>
        <v>0</v>
      </c>
      <c r="BL214" s="6" t="s">
        <v>120</v>
      </c>
    </row>
    <row r="215" spans="2:64" s="6" customFormat="1" ht="27" customHeight="1" x14ac:dyDescent="0.3">
      <c r="B215" s="19"/>
      <c r="C215" s="104">
        <v>58</v>
      </c>
      <c r="D215" s="104" t="s">
        <v>116</v>
      </c>
      <c r="E215" s="105" t="s">
        <v>183</v>
      </c>
      <c r="F215" s="286" t="s">
        <v>184</v>
      </c>
      <c r="G215" s="285"/>
      <c r="H215" s="285"/>
      <c r="I215" s="285"/>
      <c r="J215" s="106" t="s">
        <v>162</v>
      </c>
      <c r="K215" s="107">
        <f>K212*0.779544035</f>
        <v>21.69471049405</v>
      </c>
      <c r="L215" s="287"/>
      <c r="M215" s="285"/>
      <c r="N215" s="287">
        <f>K215*L215</f>
        <v>0</v>
      </c>
      <c r="O215" s="285"/>
      <c r="P215" s="285"/>
      <c r="Q215" s="285"/>
      <c r="R215" s="20"/>
      <c r="T215" s="108"/>
      <c r="U215" s="26" t="s">
        <v>37</v>
      </c>
      <c r="V215" s="109">
        <v>0.39</v>
      </c>
      <c r="W215" s="109">
        <f>$V$215*$K$215</f>
        <v>8.4609370926795009</v>
      </c>
      <c r="X215" s="109">
        <v>0</v>
      </c>
      <c r="Y215" s="109">
        <f>$X$215*$K$215</f>
        <v>0</v>
      </c>
      <c r="Z215" s="109">
        <v>0</v>
      </c>
      <c r="AA215" s="110">
        <f>$Z$215*$K$215</f>
        <v>0</v>
      </c>
      <c r="AC215" s="138"/>
      <c r="AD215" s="138"/>
      <c r="AE215" s="138"/>
      <c r="AF215" s="138"/>
      <c r="AG215" s="138"/>
      <c r="AH215" s="138"/>
      <c r="AI215" s="138"/>
      <c r="AJ215" s="138"/>
      <c r="AR215" s="6" t="s">
        <v>120</v>
      </c>
      <c r="AT215" s="6" t="s">
        <v>116</v>
      </c>
      <c r="AU215" s="6" t="s">
        <v>82</v>
      </c>
      <c r="AY215" s="6" t="s">
        <v>115</v>
      </c>
      <c r="BE215" s="111">
        <f>IF($U$215="základní",$N$215,0)</f>
        <v>0</v>
      </c>
      <c r="BF215" s="111">
        <f>IF($U$215="snížená",$N$215,0)</f>
        <v>0</v>
      </c>
      <c r="BG215" s="111">
        <f>IF($U$215="zákl. přenesená",$N$215,0)</f>
        <v>0</v>
      </c>
      <c r="BH215" s="111">
        <f>IF($U$215="sníž. přenesená",$N$215,0)</f>
        <v>0</v>
      </c>
      <c r="BI215" s="111">
        <f>IF($U$215="nulová",$N$215,0)</f>
        <v>0</v>
      </c>
      <c r="BJ215" s="6" t="s">
        <v>18</v>
      </c>
      <c r="BK215" s="112">
        <f>ROUND($L$215*$K$215,3)</f>
        <v>0</v>
      </c>
      <c r="BL215" s="6" t="s">
        <v>120</v>
      </c>
    </row>
    <row r="216" spans="2:64" s="94" customFormat="1" ht="30.75" customHeight="1" x14ac:dyDescent="0.3">
      <c r="B216" s="95"/>
      <c r="D216" s="197" t="s">
        <v>333</v>
      </c>
      <c r="N216" s="300">
        <f>SUM(N217:Q221)</f>
        <v>0</v>
      </c>
      <c r="O216" s="301"/>
      <c r="P216" s="301"/>
      <c r="Q216" s="301"/>
      <c r="R216" s="98"/>
      <c r="T216" s="99"/>
      <c r="W216" s="100">
        <f>SUM($W$217:$W$221)</f>
        <v>54.970033942295998</v>
      </c>
      <c r="Y216" s="100">
        <f>SUM($Y$217:$Y$221)</f>
        <v>32.859159300000002</v>
      </c>
      <c r="AA216" s="101">
        <f>SUM($AA$217:$AA$221)</f>
        <v>0</v>
      </c>
      <c r="AC216" s="140"/>
      <c r="AD216" s="140"/>
      <c r="AE216" s="140"/>
      <c r="AF216" s="140"/>
      <c r="AG216" s="140"/>
      <c r="AH216" s="140"/>
      <c r="AI216" s="140"/>
      <c r="AJ216" s="140"/>
      <c r="AR216" s="97" t="s">
        <v>18</v>
      </c>
      <c r="AT216" s="97" t="s">
        <v>71</v>
      </c>
      <c r="AU216" s="97" t="s">
        <v>18</v>
      </c>
      <c r="AY216" s="97" t="s">
        <v>115</v>
      </c>
      <c r="BK216" s="102">
        <f>SUM($BK$217:$BK$221)</f>
        <v>0</v>
      </c>
    </row>
    <row r="217" spans="2:64" s="6" customFormat="1" ht="27" customHeight="1" x14ac:dyDescent="0.3">
      <c r="B217" s="19"/>
      <c r="C217" s="104">
        <v>59</v>
      </c>
      <c r="D217" s="104" t="s">
        <v>116</v>
      </c>
      <c r="E217" s="105" t="s">
        <v>186</v>
      </c>
      <c r="F217" s="286" t="s">
        <v>264</v>
      </c>
      <c r="G217" s="285"/>
      <c r="H217" s="285"/>
      <c r="I217" s="285"/>
      <c r="J217" s="106" t="s">
        <v>135</v>
      </c>
      <c r="K217" s="107">
        <v>27.83</v>
      </c>
      <c r="L217" s="287"/>
      <c r="M217" s="285"/>
      <c r="N217" s="287">
        <f>K217*L217</f>
        <v>0</v>
      </c>
      <c r="O217" s="285"/>
      <c r="P217" s="285"/>
      <c r="Q217" s="285"/>
      <c r="R217" s="20"/>
      <c r="T217" s="108"/>
      <c r="U217" s="26" t="s">
        <v>37</v>
      </c>
      <c r="V217" s="109">
        <v>1.4410000000000001</v>
      </c>
      <c r="W217" s="109">
        <f>$V$217*$K$217</f>
        <v>40.103029999999997</v>
      </c>
      <c r="X217" s="109">
        <v>0.19536000000000001</v>
      </c>
      <c r="Y217" s="109">
        <f>$X$217*$K$217</f>
        <v>5.4368688000000001</v>
      </c>
      <c r="Z217" s="109">
        <v>0</v>
      </c>
      <c r="AA217" s="110">
        <f>$Z$217*$K$217</f>
        <v>0</v>
      </c>
      <c r="AC217" s="138"/>
      <c r="AD217" s="138"/>
      <c r="AE217" s="138"/>
      <c r="AF217" s="138"/>
      <c r="AG217" s="138"/>
      <c r="AH217" s="138"/>
      <c r="AI217" s="138"/>
      <c r="AJ217" s="138"/>
      <c r="AR217" s="6" t="s">
        <v>120</v>
      </c>
      <c r="AT217" s="6" t="s">
        <v>116</v>
      </c>
      <c r="AU217" s="6" t="s">
        <v>82</v>
      </c>
      <c r="AY217" s="6" t="s">
        <v>115</v>
      </c>
      <c r="BE217" s="111">
        <f>IF($U$217="základní",$N$217,0)</f>
        <v>0</v>
      </c>
      <c r="BF217" s="111">
        <f>IF($U$217="snížená",$N$217,0)</f>
        <v>0</v>
      </c>
      <c r="BG217" s="111">
        <f>IF($U$217="zákl. přenesená",$N$217,0)</f>
        <v>0</v>
      </c>
      <c r="BH217" s="111">
        <f>IF($U$217="sníž. přenesená",$N$217,0)</f>
        <v>0</v>
      </c>
      <c r="BI217" s="111">
        <f>IF($U$217="nulová",$N$217,0)</f>
        <v>0</v>
      </c>
      <c r="BJ217" s="6" t="s">
        <v>18</v>
      </c>
      <c r="BK217" s="112">
        <f>ROUND($L$217*$K$217,3)</f>
        <v>0</v>
      </c>
      <c r="BL217" s="6" t="s">
        <v>120</v>
      </c>
    </row>
    <row r="218" spans="2:64" s="6" customFormat="1" ht="15.75" customHeight="1" x14ac:dyDescent="0.3">
      <c r="B218" s="19"/>
      <c r="C218" s="125">
        <v>60</v>
      </c>
      <c r="D218" s="125" t="s">
        <v>180</v>
      </c>
      <c r="E218" s="126" t="s">
        <v>207</v>
      </c>
      <c r="F218" s="282" t="s">
        <v>208</v>
      </c>
      <c r="G218" s="283"/>
      <c r="H218" s="283"/>
      <c r="I218" s="283"/>
      <c r="J218" s="127" t="s">
        <v>135</v>
      </c>
      <c r="K218" s="128">
        <f>K217*1.01</f>
        <v>28.1083</v>
      </c>
      <c r="L218" s="284"/>
      <c r="M218" s="283"/>
      <c r="N218" s="284">
        <f>K218*L218</f>
        <v>0</v>
      </c>
      <c r="O218" s="285"/>
      <c r="P218" s="285"/>
      <c r="Q218" s="285"/>
      <c r="R218" s="20"/>
      <c r="T218" s="108"/>
      <c r="U218" s="26" t="s">
        <v>37</v>
      </c>
      <c r="V218" s="109">
        <v>0</v>
      </c>
      <c r="W218" s="109">
        <f>$V$218*$K$218</f>
        <v>0</v>
      </c>
      <c r="X218" s="109">
        <v>7.0000000000000007E-2</v>
      </c>
      <c r="Y218" s="109">
        <f>$X$218*$K$218</f>
        <v>1.9675810000000002</v>
      </c>
      <c r="Z218" s="109">
        <v>0</v>
      </c>
      <c r="AA218" s="110">
        <f>$Z$218*$K$218</f>
        <v>0</v>
      </c>
      <c r="AC218" s="138"/>
      <c r="AD218" s="142"/>
      <c r="AE218" s="138"/>
      <c r="AF218" s="138"/>
      <c r="AG218" s="138"/>
      <c r="AH218" s="138"/>
      <c r="AI218" s="138"/>
      <c r="AJ218" s="138"/>
      <c r="AR218" s="6" t="s">
        <v>139</v>
      </c>
      <c r="AT218" s="6" t="s">
        <v>180</v>
      </c>
      <c r="AU218" s="6" t="s">
        <v>82</v>
      </c>
      <c r="AY218" s="6" t="s">
        <v>115</v>
      </c>
      <c r="BE218" s="111">
        <f>IF($U$218="základní",$N$218,0)</f>
        <v>0</v>
      </c>
      <c r="BF218" s="111">
        <f>IF($U$218="snížená",$N$218,0)</f>
        <v>0</v>
      </c>
      <c r="BG218" s="111">
        <f>IF($U$218="zákl. přenesená",$N$218,0)</f>
        <v>0</v>
      </c>
      <c r="BH218" s="111">
        <f>IF($U$218="sníž. přenesená",$N$218,0)</f>
        <v>0</v>
      </c>
      <c r="BI218" s="111">
        <f>IF($U$218="nulová",$N$218,0)</f>
        <v>0</v>
      </c>
      <c r="BJ218" s="6" t="s">
        <v>18</v>
      </c>
      <c r="BK218" s="112">
        <f>ROUND($L$218*$K$218,3)</f>
        <v>0</v>
      </c>
      <c r="BL218" s="6" t="s">
        <v>120</v>
      </c>
    </row>
    <row r="219" spans="2:64" s="6" customFormat="1" ht="27" customHeight="1" x14ac:dyDescent="0.3">
      <c r="B219" s="19"/>
      <c r="C219" s="104">
        <v>61</v>
      </c>
      <c r="D219" s="104" t="s">
        <v>116</v>
      </c>
      <c r="E219" s="105" t="s">
        <v>209</v>
      </c>
      <c r="F219" s="286" t="s">
        <v>210</v>
      </c>
      <c r="G219" s="285"/>
      <c r="H219" s="285"/>
      <c r="I219" s="285"/>
      <c r="J219" s="106" t="s">
        <v>135</v>
      </c>
      <c r="K219" s="107">
        <f>K217</f>
        <v>27.83</v>
      </c>
      <c r="L219" s="287"/>
      <c r="M219" s="285"/>
      <c r="N219" s="287">
        <f>K219*L219</f>
        <v>0</v>
      </c>
      <c r="O219" s="285"/>
      <c r="P219" s="285"/>
      <c r="Q219" s="285"/>
      <c r="R219" s="20"/>
      <c r="T219" s="108"/>
      <c r="U219" s="26" t="s">
        <v>37</v>
      </c>
      <c r="V219" s="109">
        <v>4.2000000000000003E-2</v>
      </c>
      <c r="W219" s="109">
        <f>$V$219*$K$219</f>
        <v>1.16886</v>
      </c>
      <c r="X219" s="109">
        <v>0.46837000000000001</v>
      </c>
      <c r="Y219" s="109">
        <f>$X$219*$K$219</f>
        <v>13.034737099999999</v>
      </c>
      <c r="Z219" s="109">
        <v>0</v>
      </c>
      <c r="AA219" s="110">
        <f>$Z$219*$K$219</f>
        <v>0</v>
      </c>
      <c r="AC219" s="138"/>
      <c r="AD219" s="138"/>
      <c r="AE219" s="138"/>
      <c r="AF219" s="138"/>
      <c r="AG219" s="138"/>
      <c r="AH219" s="138"/>
      <c r="AI219" s="138"/>
      <c r="AJ219" s="138"/>
      <c r="AR219" s="6" t="s">
        <v>120</v>
      </c>
      <c r="AT219" s="6" t="s">
        <v>116</v>
      </c>
      <c r="AU219" s="6" t="s">
        <v>82</v>
      </c>
      <c r="AY219" s="6" t="s">
        <v>115</v>
      </c>
      <c r="BE219" s="111">
        <f>IF($U$219="základní",$N$219,0)</f>
        <v>0</v>
      </c>
      <c r="BF219" s="111">
        <f>IF($U$219="snížená",$N$219,0)</f>
        <v>0</v>
      </c>
      <c r="BG219" s="111">
        <f>IF($U$219="zákl. přenesená",$N$219,0)</f>
        <v>0</v>
      </c>
      <c r="BH219" s="111">
        <f>IF($U$219="sníž. přenesená",$N$219,0)</f>
        <v>0</v>
      </c>
      <c r="BI219" s="111">
        <f>IF($U$219="nulová",$N$219,0)</f>
        <v>0</v>
      </c>
      <c r="BJ219" s="6" t="s">
        <v>18</v>
      </c>
      <c r="BK219" s="112">
        <f>ROUND($L$219*$K$219,3)</f>
        <v>0</v>
      </c>
      <c r="BL219" s="6" t="s">
        <v>120</v>
      </c>
    </row>
    <row r="220" spans="2:64" s="6" customFormat="1" ht="27" customHeight="1" x14ac:dyDescent="0.3">
      <c r="B220" s="19"/>
      <c r="C220" s="104">
        <v>62</v>
      </c>
      <c r="D220" s="104" t="s">
        <v>116</v>
      </c>
      <c r="E220" s="105" t="s">
        <v>211</v>
      </c>
      <c r="F220" s="286" t="s">
        <v>212</v>
      </c>
      <c r="G220" s="285"/>
      <c r="H220" s="285"/>
      <c r="I220" s="285"/>
      <c r="J220" s="106" t="s">
        <v>135</v>
      </c>
      <c r="K220" s="107">
        <f>K217</f>
        <v>27.83</v>
      </c>
      <c r="L220" s="287"/>
      <c r="M220" s="285"/>
      <c r="N220" s="287">
        <f>K220*L220</f>
        <v>0</v>
      </c>
      <c r="O220" s="285"/>
      <c r="P220" s="285"/>
      <c r="Q220" s="285"/>
      <c r="R220" s="20"/>
      <c r="T220" s="108"/>
      <c r="U220" s="26" t="s">
        <v>37</v>
      </c>
      <c r="V220" s="109">
        <v>3.2000000000000001E-2</v>
      </c>
      <c r="W220" s="109">
        <f>$V$220*$K$220</f>
        <v>0.89056000000000002</v>
      </c>
      <c r="X220" s="109">
        <v>0.44628000000000001</v>
      </c>
      <c r="Y220" s="109">
        <f>$X$220*$K$220</f>
        <v>12.419972399999999</v>
      </c>
      <c r="Z220" s="109">
        <v>0</v>
      </c>
      <c r="AA220" s="110">
        <f>$Z$220*$K$220</f>
        <v>0</v>
      </c>
      <c r="AC220" s="138"/>
      <c r="AD220" s="138"/>
      <c r="AE220" s="138"/>
      <c r="AF220" s="138"/>
      <c r="AG220" s="138"/>
      <c r="AH220" s="138"/>
      <c r="AI220" s="138"/>
      <c r="AJ220" s="138"/>
      <c r="AR220" s="6" t="s">
        <v>120</v>
      </c>
      <c r="AT220" s="6" t="s">
        <v>116</v>
      </c>
      <c r="AU220" s="6" t="s">
        <v>82</v>
      </c>
      <c r="AY220" s="6" t="s">
        <v>115</v>
      </c>
      <c r="BE220" s="111">
        <f>IF($U$220="základní",$N$220,0)</f>
        <v>0</v>
      </c>
      <c r="BF220" s="111">
        <f>IF($U$220="snížená",$N$220,0)</f>
        <v>0</v>
      </c>
      <c r="BG220" s="111">
        <f>IF($U$220="zákl. přenesená",$N$220,0)</f>
        <v>0</v>
      </c>
      <c r="BH220" s="111">
        <f>IF($U$220="sníž. přenesená",$N$220,0)</f>
        <v>0</v>
      </c>
      <c r="BI220" s="111">
        <f>IF($U$220="nulová",$N$220,0)</f>
        <v>0</v>
      </c>
      <c r="BJ220" s="6" t="s">
        <v>18</v>
      </c>
      <c r="BK220" s="112">
        <f>ROUND($L$220*$K$220,3)</f>
        <v>0</v>
      </c>
      <c r="BL220" s="6" t="s">
        <v>120</v>
      </c>
    </row>
    <row r="221" spans="2:64" s="6" customFormat="1" ht="27" customHeight="1" x14ac:dyDescent="0.3">
      <c r="B221" s="19"/>
      <c r="C221" s="104">
        <v>63</v>
      </c>
      <c r="D221" s="104" t="s">
        <v>116</v>
      </c>
      <c r="E221" s="105" t="s">
        <v>183</v>
      </c>
      <c r="F221" s="286" t="s">
        <v>184</v>
      </c>
      <c r="G221" s="285"/>
      <c r="H221" s="285"/>
      <c r="I221" s="285"/>
      <c r="J221" s="106" t="s">
        <v>162</v>
      </c>
      <c r="K221" s="107">
        <f>K217*1.18002008</f>
        <v>32.8399588264</v>
      </c>
      <c r="L221" s="287"/>
      <c r="M221" s="285"/>
      <c r="N221" s="287">
        <f>K221*L221</f>
        <v>0</v>
      </c>
      <c r="O221" s="285"/>
      <c r="P221" s="285"/>
      <c r="Q221" s="285"/>
      <c r="R221" s="20"/>
      <c r="T221" s="108"/>
      <c r="U221" s="26" t="s">
        <v>37</v>
      </c>
      <c r="V221" s="109">
        <v>0.39</v>
      </c>
      <c r="W221" s="109">
        <f>$V$221*$K$221</f>
        <v>12.807583942296001</v>
      </c>
      <c r="X221" s="109">
        <v>0</v>
      </c>
      <c r="Y221" s="109">
        <f>$X$221*$K$221</f>
        <v>0</v>
      </c>
      <c r="Z221" s="109">
        <v>0</v>
      </c>
      <c r="AA221" s="110">
        <f>$Z$221*$K$221</f>
        <v>0</v>
      </c>
      <c r="AC221" s="138"/>
      <c r="AD221" s="138"/>
      <c r="AE221" s="138"/>
      <c r="AF221" s="138"/>
      <c r="AG221" s="138"/>
      <c r="AH221" s="138"/>
      <c r="AI221" s="138"/>
      <c r="AJ221" s="138"/>
      <c r="AR221" s="6" t="s">
        <v>120</v>
      </c>
      <c r="AT221" s="6" t="s">
        <v>116</v>
      </c>
      <c r="AU221" s="6" t="s">
        <v>82</v>
      </c>
      <c r="AY221" s="6" t="s">
        <v>115</v>
      </c>
      <c r="BE221" s="111">
        <f>IF($U$221="základní",$N$221,0)</f>
        <v>0</v>
      </c>
      <c r="BF221" s="111">
        <f>IF($U$221="snížená",$N$221,0)</f>
        <v>0</v>
      </c>
      <c r="BG221" s="111">
        <f>IF($U$221="zákl. přenesená",$N$221,0)</f>
        <v>0</v>
      </c>
      <c r="BH221" s="111">
        <f>IF($U$221="sníž. přenesená",$N$221,0)</f>
        <v>0</v>
      </c>
      <c r="BI221" s="111">
        <f>IF($U$221="nulová",$N$221,0)</f>
        <v>0</v>
      </c>
      <c r="BJ221" s="6" t="s">
        <v>18</v>
      </c>
      <c r="BK221" s="112">
        <f>ROUND($L$221*$K$221,3)</f>
        <v>0</v>
      </c>
      <c r="BL221" s="6" t="s">
        <v>120</v>
      </c>
    </row>
    <row r="222" spans="2:64" s="94" customFormat="1" ht="30.75" customHeight="1" x14ac:dyDescent="0.3">
      <c r="B222" s="95"/>
      <c r="D222" s="197" t="s">
        <v>334</v>
      </c>
      <c r="N222" s="300">
        <f>SUM(N223:Q229)</f>
        <v>0</v>
      </c>
      <c r="O222" s="301"/>
      <c r="P222" s="301"/>
      <c r="Q222" s="301"/>
      <c r="R222" s="98"/>
      <c r="T222" s="99"/>
      <c r="W222" s="100" t="e">
        <f>SUM($W$223:$W$229)</f>
        <v>#REF!</v>
      </c>
      <c r="Y222" s="100" t="e">
        <f>SUM($Y$223:$Y$229)</f>
        <v>#REF!</v>
      </c>
      <c r="AA222" s="101" t="e">
        <f>SUM($AA$223:$AA$229)</f>
        <v>#REF!</v>
      </c>
      <c r="AC222" s="140"/>
      <c r="AD222" s="140"/>
      <c r="AE222" s="140"/>
      <c r="AF222" s="140"/>
      <c r="AG222" s="140"/>
      <c r="AH222" s="140"/>
      <c r="AI222" s="140"/>
      <c r="AJ222" s="140"/>
      <c r="AR222" s="97" t="s">
        <v>18</v>
      </c>
      <c r="AT222" s="97" t="s">
        <v>71</v>
      </c>
      <c r="AU222" s="97" t="s">
        <v>18</v>
      </c>
      <c r="AY222" s="97" t="s">
        <v>115</v>
      </c>
      <c r="BK222" s="102" t="e">
        <f>SUM($BK$223:$BK$229)</f>
        <v>#REF!</v>
      </c>
    </row>
    <row r="223" spans="2:64" s="6" customFormat="1" ht="27" customHeight="1" x14ac:dyDescent="0.3">
      <c r="B223" s="19"/>
      <c r="C223" s="104">
        <v>64</v>
      </c>
      <c r="D223" s="104" t="s">
        <v>116</v>
      </c>
      <c r="E223" s="105" t="s">
        <v>186</v>
      </c>
      <c r="F223" s="286" t="s">
        <v>272</v>
      </c>
      <c r="G223" s="285"/>
      <c r="H223" s="285"/>
      <c r="I223" s="285"/>
      <c r="J223" s="106" t="s">
        <v>135</v>
      </c>
      <c r="K223" s="107">
        <v>720</v>
      </c>
      <c r="L223" s="287"/>
      <c r="M223" s="285"/>
      <c r="N223" s="287">
        <f>K223*L223</f>
        <v>0</v>
      </c>
      <c r="O223" s="285"/>
      <c r="P223" s="285"/>
      <c r="Q223" s="285"/>
      <c r="R223" s="20"/>
      <c r="T223" s="108"/>
      <c r="U223" s="26" t="s">
        <v>37</v>
      </c>
      <c r="V223" s="109">
        <v>1.4410000000000001</v>
      </c>
      <c r="W223" s="109">
        <f>$V$223*$K$223</f>
        <v>1037.52</v>
      </c>
      <c r="X223" s="109">
        <v>0.19536000000000001</v>
      </c>
      <c r="Y223" s="109">
        <f>$X$223*$K$223</f>
        <v>140.6592</v>
      </c>
      <c r="Z223" s="109">
        <v>0</v>
      </c>
      <c r="AA223" s="110">
        <f>$Z$223*$K$223</f>
        <v>0</v>
      </c>
      <c r="AC223" s="138"/>
      <c r="AD223" s="138"/>
      <c r="AE223" s="138"/>
      <c r="AF223" s="138"/>
      <c r="AG223" s="138"/>
      <c r="AH223" s="138"/>
      <c r="AI223" s="138"/>
      <c r="AJ223" s="138"/>
      <c r="AR223" s="6" t="s">
        <v>120</v>
      </c>
      <c r="AT223" s="6" t="s">
        <v>116</v>
      </c>
      <c r="AU223" s="6" t="s">
        <v>82</v>
      </c>
      <c r="AY223" s="6" t="s">
        <v>115</v>
      </c>
      <c r="BE223" s="111">
        <f>IF($U$223="základní",$N$223,0)</f>
        <v>0</v>
      </c>
      <c r="BF223" s="111">
        <f>IF($U$223="snížená",$N$223,0)</f>
        <v>0</v>
      </c>
      <c r="BG223" s="111">
        <f>IF($U$223="zákl. přenesená",$N$223,0)</f>
        <v>0</v>
      </c>
      <c r="BH223" s="111">
        <f>IF($U$223="sníž. přenesená",$N$223,0)</f>
        <v>0</v>
      </c>
      <c r="BI223" s="111">
        <f>IF($U$223="nulová",$N$223,0)</f>
        <v>0</v>
      </c>
      <c r="BJ223" s="6" t="s">
        <v>18</v>
      </c>
      <c r="BK223" s="112">
        <f>ROUND($L$223*$K$223,3)</f>
        <v>0</v>
      </c>
      <c r="BL223" s="6" t="s">
        <v>120</v>
      </c>
    </row>
    <row r="224" spans="2:64" s="6" customFormat="1" ht="15.75" customHeight="1" x14ac:dyDescent="0.3">
      <c r="B224" s="113"/>
      <c r="E224" s="114"/>
      <c r="F224" s="308" t="s">
        <v>317</v>
      </c>
      <c r="G224" s="309"/>
      <c r="H224" s="309"/>
      <c r="I224" s="309"/>
      <c r="K224" s="115">
        <f>K223/3.5</f>
        <v>205.71428571428572</v>
      </c>
      <c r="R224" s="116"/>
      <c r="T224" s="117"/>
      <c r="AA224" s="118"/>
      <c r="AC224" s="138"/>
      <c r="AD224" s="138"/>
      <c r="AE224" s="138"/>
      <c r="AF224" s="138"/>
      <c r="AG224" s="138"/>
      <c r="AH224" s="138"/>
      <c r="AI224" s="138"/>
      <c r="AJ224" s="138"/>
      <c r="AT224" s="114" t="s">
        <v>128</v>
      </c>
      <c r="AU224" s="114" t="s">
        <v>82</v>
      </c>
      <c r="AV224" s="114" t="s">
        <v>82</v>
      </c>
      <c r="AW224" s="114" t="s">
        <v>88</v>
      </c>
      <c r="AX224" s="114" t="s">
        <v>18</v>
      </c>
      <c r="AY224" s="114" t="s">
        <v>115</v>
      </c>
    </row>
    <row r="225" spans="2:65" s="6" customFormat="1" ht="45.75" customHeight="1" x14ac:dyDescent="0.3">
      <c r="B225" s="19"/>
      <c r="C225" s="157">
        <v>65</v>
      </c>
      <c r="D225" s="157" t="s">
        <v>180</v>
      </c>
      <c r="E225" s="158" t="s">
        <v>185</v>
      </c>
      <c r="F225" s="305" t="s">
        <v>387</v>
      </c>
      <c r="G225" s="290"/>
      <c r="H225" s="290"/>
      <c r="I225" s="290"/>
      <c r="J225" s="159" t="s">
        <v>162</v>
      </c>
      <c r="K225" s="160">
        <v>53.2</v>
      </c>
      <c r="L225" s="289"/>
      <c r="M225" s="290"/>
      <c r="N225" s="289">
        <f t="shared" ref="N225:N229" si="21">K225*L225</f>
        <v>0</v>
      </c>
      <c r="O225" s="291"/>
      <c r="P225" s="291"/>
      <c r="Q225" s="291"/>
      <c r="R225" s="20"/>
      <c r="T225" s="108"/>
      <c r="U225" s="26" t="s">
        <v>37</v>
      </c>
      <c r="V225" s="109">
        <v>0</v>
      </c>
      <c r="W225" s="109" t="e">
        <f>#REF!*#REF!</f>
        <v>#REF!</v>
      </c>
      <c r="X225" s="109">
        <v>1</v>
      </c>
      <c r="Y225" s="109" t="e">
        <f>#REF!*#REF!</f>
        <v>#REF!</v>
      </c>
      <c r="Z225" s="109">
        <v>0</v>
      </c>
      <c r="AA225" s="110" t="e">
        <f>#REF!*#REF!</f>
        <v>#REF!</v>
      </c>
      <c r="AC225" s="138"/>
      <c r="AD225" s="138"/>
      <c r="AE225" s="138"/>
      <c r="AF225" s="138"/>
      <c r="AG225" s="138"/>
      <c r="AH225" s="138"/>
      <c r="AI225" s="138"/>
      <c r="AJ225" s="138"/>
      <c r="AR225" s="6" t="s">
        <v>139</v>
      </c>
      <c r="AT225" s="6" t="s">
        <v>180</v>
      </c>
      <c r="AU225" s="6" t="s">
        <v>82</v>
      </c>
      <c r="AY225" s="6" t="s">
        <v>115</v>
      </c>
      <c r="BE225" s="111" t="e">
        <f>IF(#REF!="základní",#REF!,0)</f>
        <v>#REF!</v>
      </c>
      <c r="BF225" s="111" t="e">
        <f>IF(#REF!="snížená",#REF!,0)</f>
        <v>#REF!</v>
      </c>
      <c r="BG225" s="111" t="e">
        <f>IF(#REF!="zákl. přenesená",#REF!,0)</f>
        <v>#REF!</v>
      </c>
      <c r="BH225" s="111" t="e">
        <f>IF(#REF!="sníž. přenesená",#REF!,0)</f>
        <v>#REF!</v>
      </c>
      <c r="BI225" s="111" t="e">
        <f>IF(#REF!="nulová",#REF!,0)</f>
        <v>#REF!</v>
      </c>
      <c r="BJ225" s="6" t="s">
        <v>18</v>
      </c>
      <c r="BK225" s="112" t="e">
        <f>ROUND(#REF!*#REF!,3)</f>
        <v>#REF!</v>
      </c>
      <c r="BL225" s="6" t="s">
        <v>120</v>
      </c>
    </row>
    <row r="226" spans="2:65" s="238" customFormat="1" ht="24.75" customHeight="1" x14ac:dyDescent="0.3">
      <c r="B226" s="19"/>
      <c r="C226" s="221">
        <v>66</v>
      </c>
      <c r="D226" s="221" t="s">
        <v>116</v>
      </c>
      <c r="E226" s="105" t="s">
        <v>153</v>
      </c>
      <c r="F226" s="286" t="s">
        <v>388</v>
      </c>
      <c r="G226" s="285"/>
      <c r="H226" s="285"/>
      <c r="I226" s="285"/>
      <c r="J226" s="227" t="s">
        <v>135</v>
      </c>
      <c r="K226" s="239">
        <f>K223</f>
        <v>720</v>
      </c>
      <c r="L226" s="293"/>
      <c r="M226" s="291"/>
      <c r="N226" s="293">
        <f t="shared" si="21"/>
        <v>0</v>
      </c>
      <c r="O226" s="291"/>
      <c r="P226" s="291"/>
      <c r="Q226" s="291"/>
      <c r="R226" s="20"/>
      <c r="T226" s="108"/>
      <c r="U226" s="26" t="s">
        <v>37</v>
      </c>
      <c r="V226" s="109">
        <v>0.13600000000000001</v>
      </c>
      <c r="W226" s="109">
        <f>$V$159*$K$159</f>
        <v>36.077672</v>
      </c>
      <c r="X226" s="109">
        <v>0</v>
      </c>
      <c r="Y226" s="109">
        <f>$X$159*$K$159</f>
        <v>0</v>
      </c>
      <c r="Z226" s="109">
        <v>0</v>
      </c>
      <c r="AA226" s="110">
        <f>$Z$159*$K$159</f>
        <v>0</v>
      </c>
      <c r="AC226" s="142"/>
      <c r="AD226" s="138"/>
      <c r="AE226" s="144"/>
      <c r="AF226" s="138"/>
      <c r="AG226" s="138"/>
      <c r="AH226" s="138"/>
      <c r="AI226" s="138"/>
      <c r="AJ226" s="138"/>
      <c r="AR226" s="238" t="s">
        <v>120</v>
      </c>
      <c r="AT226" s="238" t="s">
        <v>116</v>
      </c>
      <c r="AU226" s="238" t="s">
        <v>82</v>
      </c>
      <c r="AY226" s="238" t="s">
        <v>115</v>
      </c>
      <c r="BE226" s="111">
        <f>IF($U$159="základní",$N$159,0)</f>
        <v>0</v>
      </c>
      <c r="BF226" s="111">
        <f>IF($U$159="snížená",$N$159,0)</f>
        <v>0</v>
      </c>
      <c r="BG226" s="111">
        <f>IF($U$159="zákl. přenesená",$N$159,0)</f>
        <v>0</v>
      </c>
      <c r="BH226" s="111">
        <f>IF($U$159="sníž. přenesená",$N$159,0)</f>
        <v>0</v>
      </c>
      <c r="BI226" s="111">
        <f>IF($U$159="nulová",$N$159,0)</f>
        <v>0</v>
      </c>
      <c r="BJ226" s="238" t="s">
        <v>18</v>
      </c>
      <c r="BK226" s="112">
        <f>ROUND($L$159*$K$159,3)</f>
        <v>0</v>
      </c>
      <c r="BL226" s="238" t="s">
        <v>120</v>
      </c>
    </row>
    <row r="227" spans="2:65" s="6" customFormat="1" ht="27" customHeight="1" x14ac:dyDescent="0.3">
      <c r="B227" s="19"/>
      <c r="C227" s="104">
        <v>67</v>
      </c>
      <c r="D227" s="104" t="s">
        <v>116</v>
      </c>
      <c r="E227" s="105" t="s">
        <v>209</v>
      </c>
      <c r="F227" s="286" t="s">
        <v>210</v>
      </c>
      <c r="G227" s="285"/>
      <c r="H227" s="285"/>
      <c r="I227" s="285"/>
      <c r="J227" s="106" t="s">
        <v>135</v>
      </c>
      <c r="K227" s="107">
        <f>K223</f>
        <v>720</v>
      </c>
      <c r="L227" s="287"/>
      <c r="M227" s="285"/>
      <c r="N227" s="287">
        <f t="shared" si="21"/>
        <v>0</v>
      </c>
      <c r="O227" s="285"/>
      <c r="P227" s="285"/>
      <c r="Q227" s="285"/>
      <c r="R227" s="20"/>
      <c r="T227" s="108"/>
      <c r="U227" s="26" t="s">
        <v>37</v>
      </c>
      <c r="V227" s="109">
        <v>4.2000000000000003E-2</v>
      </c>
      <c r="W227" s="109">
        <f>$V$227*$K$227</f>
        <v>30.240000000000002</v>
      </c>
      <c r="X227" s="109">
        <v>0.46837000000000001</v>
      </c>
      <c r="Y227" s="109">
        <f>$X$227*$K$227</f>
        <v>337.22640000000001</v>
      </c>
      <c r="Z227" s="109">
        <v>0</v>
      </c>
      <c r="AA227" s="110">
        <f>$Z$227*$K$227</f>
        <v>0</v>
      </c>
      <c r="AC227" s="138"/>
      <c r="AD227" s="138"/>
      <c r="AE227" s="138"/>
      <c r="AF227" s="138"/>
      <c r="AG227" s="138"/>
      <c r="AH227" s="138"/>
      <c r="AI227" s="138"/>
      <c r="AJ227" s="138"/>
      <c r="AR227" s="6" t="s">
        <v>120</v>
      </c>
      <c r="AT227" s="6" t="s">
        <v>116</v>
      </c>
      <c r="AU227" s="6" t="s">
        <v>82</v>
      </c>
      <c r="AY227" s="6" t="s">
        <v>115</v>
      </c>
      <c r="BE227" s="111">
        <f>IF($U$227="základní",$N$227,0)</f>
        <v>0</v>
      </c>
      <c r="BF227" s="111">
        <f>IF($U$227="snížená",$N$227,0)</f>
        <v>0</v>
      </c>
      <c r="BG227" s="111">
        <f>IF($U$227="zákl. přenesená",$N$227,0)</f>
        <v>0</v>
      </c>
      <c r="BH227" s="111">
        <f>IF($U$227="sníž. přenesená",$N$227,0)</f>
        <v>0</v>
      </c>
      <c r="BI227" s="111">
        <f>IF($U$227="nulová",$N$227,0)</f>
        <v>0</v>
      </c>
      <c r="BJ227" s="6" t="s">
        <v>18</v>
      </c>
      <c r="BK227" s="112">
        <f>ROUND($L$227*$K$227,3)</f>
        <v>0</v>
      </c>
      <c r="BL227" s="6" t="s">
        <v>120</v>
      </c>
    </row>
    <row r="228" spans="2:65" s="6" customFormat="1" ht="27" customHeight="1" x14ac:dyDescent="0.3">
      <c r="B228" s="19"/>
      <c r="C228" s="104">
        <v>68</v>
      </c>
      <c r="D228" s="104" t="s">
        <v>116</v>
      </c>
      <c r="E228" s="105" t="s">
        <v>211</v>
      </c>
      <c r="F228" s="286" t="s">
        <v>212</v>
      </c>
      <c r="G228" s="285"/>
      <c r="H228" s="285"/>
      <c r="I228" s="285"/>
      <c r="J228" s="106" t="s">
        <v>135</v>
      </c>
      <c r="K228" s="107">
        <f>K223</f>
        <v>720</v>
      </c>
      <c r="L228" s="287"/>
      <c r="M228" s="285"/>
      <c r="N228" s="287">
        <f t="shared" si="21"/>
        <v>0</v>
      </c>
      <c r="O228" s="285"/>
      <c r="P228" s="285"/>
      <c r="Q228" s="285"/>
      <c r="R228" s="20"/>
      <c r="T228" s="108"/>
      <c r="U228" s="26" t="s">
        <v>37</v>
      </c>
      <c r="V228" s="109">
        <v>3.2000000000000001E-2</v>
      </c>
      <c r="W228" s="109">
        <f>$V$228*$K$228</f>
        <v>23.04</v>
      </c>
      <c r="X228" s="109">
        <v>0.44628000000000001</v>
      </c>
      <c r="Y228" s="109">
        <f>$X$228*$K$228</f>
        <v>321.32159999999999</v>
      </c>
      <c r="Z228" s="109">
        <v>0</v>
      </c>
      <c r="AA228" s="110">
        <f>$Z$228*$K$228</f>
        <v>0</v>
      </c>
      <c r="AC228" s="138"/>
      <c r="AD228" s="138"/>
      <c r="AE228" s="138"/>
      <c r="AF228" s="138"/>
      <c r="AG228" s="138"/>
      <c r="AH228" s="138"/>
      <c r="AI228" s="138"/>
      <c r="AJ228" s="138"/>
      <c r="AR228" s="6" t="s">
        <v>120</v>
      </c>
      <c r="AT228" s="6" t="s">
        <v>116</v>
      </c>
      <c r="AU228" s="6" t="s">
        <v>82</v>
      </c>
      <c r="AY228" s="6" t="s">
        <v>115</v>
      </c>
      <c r="BE228" s="111">
        <f>IF($U$228="základní",$N$228,0)</f>
        <v>0</v>
      </c>
      <c r="BF228" s="111">
        <f>IF($U$228="snížená",$N$228,0)</f>
        <v>0</v>
      </c>
      <c r="BG228" s="111">
        <f>IF($U$228="zákl. přenesená",$N$228,0)</f>
        <v>0</v>
      </c>
      <c r="BH228" s="111">
        <f>IF($U$228="sníž. přenesená",$N$228,0)</f>
        <v>0</v>
      </c>
      <c r="BI228" s="111">
        <f>IF($U$228="nulová",$N$228,0)</f>
        <v>0</v>
      </c>
      <c r="BJ228" s="6" t="s">
        <v>18</v>
      </c>
      <c r="BK228" s="112">
        <f>ROUND($L$228*$K$228,3)</f>
        <v>0</v>
      </c>
      <c r="BL228" s="6" t="s">
        <v>120</v>
      </c>
    </row>
    <row r="229" spans="2:65" s="6" customFormat="1" ht="27" customHeight="1" x14ac:dyDescent="0.3">
      <c r="B229" s="19"/>
      <c r="C229" s="104">
        <v>69</v>
      </c>
      <c r="D229" s="104" t="s">
        <v>116</v>
      </c>
      <c r="E229" s="105" t="s">
        <v>183</v>
      </c>
      <c r="F229" s="286" t="s">
        <v>184</v>
      </c>
      <c r="G229" s="285"/>
      <c r="H229" s="285"/>
      <c r="I229" s="285"/>
      <c r="J229" s="106" t="s">
        <v>162</v>
      </c>
      <c r="K229" s="107">
        <f>K223*1.443343445</f>
        <v>1039.2072803999999</v>
      </c>
      <c r="L229" s="287"/>
      <c r="M229" s="285"/>
      <c r="N229" s="287">
        <f t="shared" si="21"/>
        <v>0</v>
      </c>
      <c r="O229" s="285"/>
      <c r="P229" s="285"/>
      <c r="Q229" s="285"/>
      <c r="R229" s="20"/>
      <c r="T229" s="108"/>
      <c r="U229" s="26" t="s">
        <v>37</v>
      </c>
      <c r="V229" s="109">
        <v>0.39</v>
      </c>
      <c r="W229" s="109">
        <f>$V$229*$K$229</f>
        <v>405.29083935599999</v>
      </c>
      <c r="X229" s="109">
        <v>0</v>
      </c>
      <c r="Y229" s="109">
        <f>$X$229*$K$229</f>
        <v>0</v>
      </c>
      <c r="Z229" s="109">
        <v>0</v>
      </c>
      <c r="AA229" s="110">
        <f>$Z$229*$K$229</f>
        <v>0</v>
      </c>
      <c r="AC229" s="138"/>
      <c r="AD229" s="138"/>
      <c r="AE229" s="138"/>
      <c r="AF229" s="138"/>
      <c r="AG229" s="138"/>
      <c r="AH229" s="138"/>
      <c r="AI229" s="138"/>
      <c r="AJ229" s="138"/>
      <c r="AR229" s="6" t="s">
        <v>120</v>
      </c>
      <c r="AT229" s="6" t="s">
        <v>116</v>
      </c>
      <c r="AU229" s="6" t="s">
        <v>82</v>
      </c>
      <c r="AY229" s="6" t="s">
        <v>115</v>
      </c>
      <c r="BE229" s="111">
        <f>IF($U$229="základní",$N$229,0)</f>
        <v>0</v>
      </c>
      <c r="BF229" s="111">
        <f>IF($U$229="snížená",$N$229,0)</f>
        <v>0</v>
      </c>
      <c r="BG229" s="111">
        <f>IF($U$229="zákl. přenesená",$N$229,0)</f>
        <v>0</v>
      </c>
      <c r="BH229" s="111">
        <f>IF($U$229="sníž. přenesená",$N$229,0)</f>
        <v>0</v>
      </c>
      <c r="BI229" s="111">
        <f>IF($U$229="nulová",$N$229,0)</f>
        <v>0</v>
      </c>
      <c r="BJ229" s="6" t="s">
        <v>18</v>
      </c>
      <c r="BK229" s="112">
        <f>ROUND($L$229*$K$229,3)</f>
        <v>0</v>
      </c>
      <c r="BL229" s="6" t="s">
        <v>120</v>
      </c>
    </row>
    <row r="230" spans="2:65" s="94" customFormat="1" ht="30.75" customHeight="1" x14ac:dyDescent="0.3">
      <c r="B230" s="95"/>
      <c r="D230" s="197" t="s">
        <v>335</v>
      </c>
      <c r="N230" s="300">
        <f>SUM(N231:Q237)</f>
        <v>0</v>
      </c>
      <c r="O230" s="301"/>
      <c r="P230" s="301"/>
      <c r="Q230" s="301"/>
      <c r="R230" s="98"/>
      <c r="T230" s="99"/>
      <c r="W230" s="100">
        <f>SUM($W$231:$W$237)</f>
        <v>1518.03876453986</v>
      </c>
      <c r="Y230" s="100">
        <f>SUM($Y$231:$Y$237)</f>
        <v>791.659132</v>
      </c>
      <c r="AA230" s="101">
        <f>SUM($AA$231:$AA$237)</f>
        <v>0</v>
      </c>
      <c r="AC230" s="147"/>
      <c r="AD230" s="140"/>
      <c r="AE230" s="140"/>
      <c r="AF230" s="140"/>
      <c r="AG230" s="140"/>
      <c r="AH230" s="140"/>
      <c r="AI230" s="140"/>
      <c r="AJ230" s="140"/>
      <c r="AR230" s="97" t="s">
        <v>18</v>
      </c>
      <c r="AT230" s="97" t="s">
        <v>71</v>
      </c>
      <c r="AU230" s="97" t="s">
        <v>18</v>
      </c>
      <c r="AY230" s="97" t="s">
        <v>115</v>
      </c>
      <c r="BK230" s="102">
        <f>SUM($BK$231:$BK$237)</f>
        <v>0</v>
      </c>
    </row>
    <row r="231" spans="2:65" s="6" customFormat="1" ht="27" customHeight="1" x14ac:dyDescent="0.3">
      <c r="B231" s="19"/>
      <c r="C231" s="104">
        <v>70</v>
      </c>
      <c r="D231" s="104" t="s">
        <v>116</v>
      </c>
      <c r="E231" s="105" t="s">
        <v>186</v>
      </c>
      <c r="F231" s="286" t="s">
        <v>275</v>
      </c>
      <c r="G231" s="285"/>
      <c r="H231" s="285"/>
      <c r="I231" s="285"/>
      <c r="J231" s="106" t="s">
        <v>135</v>
      </c>
      <c r="K231" s="107">
        <v>713.2</v>
      </c>
      <c r="L231" s="287"/>
      <c r="M231" s="285"/>
      <c r="N231" s="287">
        <f>K231*L231</f>
        <v>0</v>
      </c>
      <c r="O231" s="285"/>
      <c r="P231" s="285"/>
      <c r="Q231" s="285"/>
      <c r="R231" s="20"/>
      <c r="T231" s="108"/>
      <c r="U231" s="26" t="s">
        <v>37</v>
      </c>
      <c r="V231" s="109">
        <v>1.4410000000000001</v>
      </c>
      <c r="W231" s="109">
        <f>$V$231*$K$231</f>
        <v>1027.7212000000002</v>
      </c>
      <c r="X231" s="109">
        <v>0.19536000000000001</v>
      </c>
      <c r="Y231" s="109">
        <f>$X$231*$K$231</f>
        <v>139.33075200000002</v>
      </c>
      <c r="Z231" s="109">
        <v>0</v>
      </c>
      <c r="AA231" s="110">
        <f>$Z$231*$K$231</f>
        <v>0</v>
      </c>
      <c r="AC231" s="138"/>
      <c r="AD231" s="138"/>
      <c r="AE231" s="138"/>
      <c r="AF231" s="138"/>
      <c r="AG231" s="138"/>
      <c r="AH231" s="138"/>
      <c r="AI231" s="138"/>
      <c r="AJ231" s="138"/>
      <c r="AR231" s="6" t="s">
        <v>120</v>
      </c>
      <c r="AT231" s="6" t="s">
        <v>116</v>
      </c>
      <c r="AU231" s="6" t="s">
        <v>82</v>
      </c>
      <c r="AY231" s="6" t="s">
        <v>115</v>
      </c>
      <c r="BE231" s="111">
        <f>IF($U$231="základní",$N$231,0)</f>
        <v>0</v>
      </c>
      <c r="BF231" s="111">
        <f>IF($U$231="snížená",$N$231,0)</f>
        <v>0</v>
      </c>
      <c r="BG231" s="111">
        <f>IF($U$231="zákl. přenesená",$N$231,0)</f>
        <v>0</v>
      </c>
      <c r="BH231" s="111">
        <f>IF($U$231="sníž. přenesená",$N$231,0)</f>
        <v>0</v>
      </c>
      <c r="BI231" s="111">
        <f>IF($U$231="nulová",$N$231,0)</f>
        <v>0</v>
      </c>
      <c r="BJ231" s="6" t="s">
        <v>18</v>
      </c>
      <c r="BK231" s="112">
        <f>ROUND($L$231*$K$231,3)</f>
        <v>0</v>
      </c>
      <c r="BL231" s="6" t="s">
        <v>120</v>
      </c>
    </row>
    <row r="232" spans="2:65" s="6" customFormat="1" ht="30.75" customHeight="1" x14ac:dyDescent="0.3">
      <c r="B232" s="19"/>
      <c r="C232" s="125">
        <v>71</v>
      </c>
      <c r="D232" s="125" t="s">
        <v>180</v>
      </c>
      <c r="E232" s="126" t="s">
        <v>185</v>
      </c>
      <c r="F232" s="282" t="s">
        <v>276</v>
      </c>
      <c r="G232" s="283"/>
      <c r="H232" s="283"/>
      <c r="I232" s="283"/>
      <c r="J232" s="127" t="s">
        <v>162</v>
      </c>
      <c r="K232" s="128">
        <v>0</v>
      </c>
      <c r="L232" s="284"/>
      <c r="M232" s="283"/>
      <c r="N232" s="284">
        <f>ROUND($L$232*$K$232,3)</f>
        <v>0</v>
      </c>
      <c r="O232" s="285"/>
      <c r="P232" s="285"/>
      <c r="Q232" s="285"/>
      <c r="R232" s="20"/>
      <c r="T232" s="108"/>
      <c r="U232" s="26" t="s">
        <v>37</v>
      </c>
      <c r="V232" s="109">
        <v>0</v>
      </c>
      <c r="W232" s="109">
        <f>$V$232*$K$232</f>
        <v>0</v>
      </c>
      <c r="X232" s="109">
        <v>1</v>
      </c>
      <c r="Y232" s="109">
        <f>$X$232*$K$232</f>
        <v>0</v>
      </c>
      <c r="Z232" s="109">
        <v>0</v>
      </c>
      <c r="AA232" s="110">
        <f>$Z$232*$K$232</f>
        <v>0</v>
      </c>
      <c r="AC232" s="138"/>
      <c r="AD232" s="138"/>
      <c r="AE232" s="138"/>
      <c r="AF232" s="138"/>
      <c r="AG232" s="138"/>
      <c r="AH232" s="138"/>
      <c r="AI232" s="138"/>
      <c r="AJ232" s="138"/>
      <c r="AR232" s="6" t="s">
        <v>139</v>
      </c>
      <c r="AT232" s="6" t="s">
        <v>180</v>
      </c>
      <c r="AU232" s="6" t="s">
        <v>82</v>
      </c>
      <c r="AY232" s="6" t="s">
        <v>115</v>
      </c>
      <c r="BE232" s="111">
        <f>IF($U$232="základní",$N$232,0)</f>
        <v>0</v>
      </c>
      <c r="BF232" s="111">
        <f>IF($U$232="snížená",$N$232,0)</f>
        <v>0</v>
      </c>
      <c r="BG232" s="111">
        <f>IF($U$232="zákl. přenesená",$N$232,0)</f>
        <v>0</v>
      </c>
      <c r="BH232" s="111">
        <f>IF($U$232="sníž. přenesená",$N$232,0)</f>
        <v>0</v>
      </c>
      <c r="BI232" s="111">
        <f>IF($U$232="nulová",$N$232,0)</f>
        <v>0</v>
      </c>
      <c r="BJ232" s="6" t="s">
        <v>18</v>
      </c>
      <c r="BK232" s="112">
        <f>ROUND($L$232*$K$232,3)</f>
        <v>0</v>
      </c>
      <c r="BL232" s="6" t="s">
        <v>120</v>
      </c>
    </row>
    <row r="233" spans="2:65" s="6" customFormat="1" ht="15.75" customHeight="1" x14ac:dyDescent="0.3">
      <c r="B233" s="113"/>
      <c r="E233" s="114"/>
      <c r="F233" s="308" t="s">
        <v>290</v>
      </c>
      <c r="G233" s="309"/>
      <c r="H233" s="309"/>
      <c r="I233" s="309"/>
      <c r="K233" s="115">
        <f>K231/3.5</f>
        <v>203.77142857142857</v>
      </c>
      <c r="R233" s="116"/>
      <c r="T233" s="117"/>
      <c r="AA233" s="118"/>
      <c r="AC233" s="195"/>
      <c r="AD233" s="138"/>
      <c r="AE233" s="138"/>
      <c r="AF233" s="138"/>
      <c r="AG233" s="138"/>
      <c r="AH233" s="138"/>
      <c r="AI233" s="138"/>
      <c r="AJ233" s="138"/>
      <c r="AT233" s="114" t="s">
        <v>128</v>
      </c>
      <c r="AU233" s="114" t="s">
        <v>82</v>
      </c>
      <c r="AV233" s="114" t="s">
        <v>82</v>
      </c>
      <c r="AW233" s="114" t="s">
        <v>88</v>
      </c>
      <c r="AX233" s="114" t="s">
        <v>18</v>
      </c>
      <c r="AY233" s="114" t="s">
        <v>115</v>
      </c>
    </row>
    <row r="234" spans="2:65" s="238" customFormat="1" ht="24.75" customHeight="1" x14ac:dyDescent="0.3">
      <c r="B234" s="19"/>
      <c r="C234" s="221">
        <v>72</v>
      </c>
      <c r="D234" s="221" t="s">
        <v>116</v>
      </c>
      <c r="E234" s="105" t="s">
        <v>153</v>
      </c>
      <c r="F234" s="286" t="s">
        <v>388</v>
      </c>
      <c r="G234" s="285"/>
      <c r="H234" s="285"/>
      <c r="I234" s="285"/>
      <c r="J234" s="227" t="s">
        <v>135</v>
      </c>
      <c r="K234" s="239">
        <f>K231</f>
        <v>713.2</v>
      </c>
      <c r="L234" s="293"/>
      <c r="M234" s="291"/>
      <c r="N234" s="293">
        <f t="shared" ref="N234" si="22">K234*L234</f>
        <v>0</v>
      </c>
      <c r="O234" s="291"/>
      <c r="P234" s="291"/>
      <c r="Q234" s="291"/>
      <c r="R234" s="20"/>
      <c r="T234" s="108"/>
      <c r="U234" s="26" t="s">
        <v>37</v>
      </c>
      <c r="V234" s="109">
        <v>0.13600000000000001</v>
      </c>
      <c r="W234" s="109">
        <f>$V$159*$K$159</f>
        <v>36.077672</v>
      </c>
      <c r="X234" s="109">
        <v>0</v>
      </c>
      <c r="Y234" s="109">
        <f>$X$159*$K$159</f>
        <v>0</v>
      </c>
      <c r="Z234" s="109">
        <v>0</v>
      </c>
      <c r="AA234" s="110">
        <f>$Z$159*$K$159</f>
        <v>0</v>
      </c>
      <c r="AC234" s="142"/>
      <c r="AD234" s="138"/>
      <c r="AE234" s="144"/>
      <c r="AF234" s="138"/>
      <c r="AG234" s="138"/>
      <c r="AH234" s="138"/>
      <c r="AI234" s="138"/>
      <c r="AJ234" s="138"/>
      <c r="AR234" s="238" t="s">
        <v>120</v>
      </c>
      <c r="AT234" s="238" t="s">
        <v>116</v>
      </c>
      <c r="AU234" s="238" t="s">
        <v>82</v>
      </c>
      <c r="AY234" s="238" t="s">
        <v>115</v>
      </c>
      <c r="BE234" s="111">
        <f>IF($U$159="základní",$N$159,0)</f>
        <v>0</v>
      </c>
      <c r="BF234" s="111">
        <f>IF($U$159="snížená",$N$159,0)</f>
        <v>0</v>
      </c>
      <c r="BG234" s="111">
        <f>IF($U$159="zákl. přenesená",$N$159,0)</f>
        <v>0</v>
      </c>
      <c r="BH234" s="111">
        <f>IF($U$159="sníž. přenesená",$N$159,0)</f>
        <v>0</v>
      </c>
      <c r="BI234" s="111">
        <f>IF($U$159="nulová",$N$159,0)</f>
        <v>0</v>
      </c>
      <c r="BJ234" s="238" t="s">
        <v>18</v>
      </c>
      <c r="BK234" s="112">
        <f>ROUND($L$159*$K$159,3)</f>
        <v>0</v>
      </c>
      <c r="BL234" s="238" t="s">
        <v>120</v>
      </c>
    </row>
    <row r="235" spans="2:65" s="6" customFormat="1" ht="27" customHeight="1" x14ac:dyDescent="0.3">
      <c r="B235" s="19"/>
      <c r="C235" s="104">
        <v>73</v>
      </c>
      <c r="D235" s="104" t="s">
        <v>116</v>
      </c>
      <c r="E235" s="105" t="s">
        <v>209</v>
      </c>
      <c r="F235" s="286" t="s">
        <v>210</v>
      </c>
      <c r="G235" s="285"/>
      <c r="H235" s="285"/>
      <c r="I235" s="285"/>
      <c r="J235" s="106" t="s">
        <v>135</v>
      </c>
      <c r="K235" s="107">
        <f>K231</f>
        <v>713.2</v>
      </c>
      <c r="L235" s="287"/>
      <c r="M235" s="285"/>
      <c r="N235" s="287">
        <f>K235*L235</f>
        <v>0</v>
      </c>
      <c r="O235" s="285"/>
      <c r="P235" s="285"/>
      <c r="Q235" s="285"/>
      <c r="R235" s="20"/>
      <c r="T235" s="108"/>
      <c r="U235" s="26" t="s">
        <v>37</v>
      </c>
      <c r="V235" s="109">
        <v>4.2000000000000003E-2</v>
      </c>
      <c r="W235" s="109">
        <f>$V$235*$K$235</f>
        <v>29.954400000000003</v>
      </c>
      <c r="X235" s="109">
        <v>0.46837000000000001</v>
      </c>
      <c r="Y235" s="109">
        <f>$X$235*$K$235</f>
        <v>334.04148400000003</v>
      </c>
      <c r="Z235" s="109">
        <v>0</v>
      </c>
      <c r="AA235" s="110">
        <f>$Z$235*$K$235</f>
        <v>0</v>
      </c>
      <c r="AC235" s="138"/>
      <c r="AD235" s="138"/>
      <c r="AE235" s="138"/>
      <c r="AF235" s="138"/>
      <c r="AG235" s="138"/>
      <c r="AH235" s="138"/>
      <c r="AI235" s="138"/>
      <c r="AJ235" s="138"/>
      <c r="AR235" s="6" t="s">
        <v>120</v>
      </c>
      <c r="AT235" s="6" t="s">
        <v>116</v>
      </c>
      <c r="AU235" s="6" t="s">
        <v>82</v>
      </c>
      <c r="AY235" s="6" t="s">
        <v>115</v>
      </c>
      <c r="BE235" s="111">
        <f>IF($U$235="základní",$N$235,0)</f>
        <v>0</v>
      </c>
      <c r="BF235" s="111">
        <f>IF($U$235="snížená",$N$235,0)</f>
        <v>0</v>
      </c>
      <c r="BG235" s="111">
        <f>IF($U$235="zákl. přenesená",$N$235,0)</f>
        <v>0</v>
      </c>
      <c r="BH235" s="111">
        <f>IF($U$235="sníž. přenesená",$N$235,0)</f>
        <v>0</v>
      </c>
      <c r="BI235" s="111">
        <f>IF($U$235="nulová",$N$235,0)</f>
        <v>0</v>
      </c>
      <c r="BJ235" s="6" t="s">
        <v>18</v>
      </c>
      <c r="BK235" s="112">
        <f>ROUND($L$235*$K$235,3)</f>
        <v>0</v>
      </c>
      <c r="BL235" s="6" t="s">
        <v>120</v>
      </c>
    </row>
    <row r="236" spans="2:65" s="6" customFormat="1" ht="27" customHeight="1" x14ac:dyDescent="0.3">
      <c r="B236" s="19"/>
      <c r="C236" s="104">
        <v>74</v>
      </c>
      <c r="D236" s="104" t="s">
        <v>116</v>
      </c>
      <c r="E236" s="105" t="s">
        <v>211</v>
      </c>
      <c r="F236" s="286" t="s">
        <v>212</v>
      </c>
      <c r="G236" s="285"/>
      <c r="H236" s="285"/>
      <c r="I236" s="285"/>
      <c r="J236" s="106" t="s">
        <v>135</v>
      </c>
      <c r="K236" s="107">
        <f>K231</f>
        <v>713.2</v>
      </c>
      <c r="L236" s="287"/>
      <c r="M236" s="285"/>
      <c r="N236" s="287">
        <f>K236*L236</f>
        <v>0</v>
      </c>
      <c r="O236" s="285"/>
      <c r="P236" s="285"/>
      <c r="Q236" s="285"/>
      <c r="R236" s="20"/>
      <c r="T236" s="108"/>
      <c r="U236" s="26" t="s">
        <v>37</v>
      </c>
      <c r="V236" s="109">
        <v>3.2000000000000001E-2</v>
      </c>
      <c r="W236" s="109">
        <f>$V$236*$K$236</f>
        <v>22.822400000000002</v>
      </c>
      <c r="X236" s="109">
        <v>0.44628000000000001</v>
      </c>
      <c r="Y236" s="109">
        <f>$X$236*$K$236</f>
        <v>318.28689600000001</v>
      </c>
      <c r="Z236" s="109">
        <v>0</v>
      </c>
      <c r="AA236" s="110">
        <f>$Z$236*$K$236</f>
        <v>0</v>
      </c>
      <c r="AC236" s="138"/>
      <c r="AD236" s="138"/>
      <c r="AE236" s="138"/>
      <c r="AF236" s="138"/>
      <c r="AG236" s="138"/>
      <c r="AH236" s="138"/>
      <c r="AI236" s="138"/>
      <c r="AJ236" s="138"/>
      <c r="AR236" s="6" t="s">
        <v>120</v>
      </c>
      <c r="AT236" s="6" t="s">
        <v>116</v>
      </c>
      <c r="AU236" s="6" t="s">
        <v>82</v>
      </c>
      <c r="AY236" s="6" t="s">
        <v>115</v>
      </c>
      <c r="BE236" s="111">
        <f>IF($U$236="základní",$N$236,0)</f>
        <v>0</v>
      </c>
      <c r="BF236" s="111">
        <f>IF($U$236="snížená",$N$236,0)</f>
        <v>0</v>
      </c>
      <c r="BG236" s="111">
        <f>IF($U$236="zákl. přenesená",$N$236,0)</f>
        <v>0</v>
      </c>
      <c r="BH236" s="111">
        <f>IF($U$236="sníž. přenesená",$N$236,0)</f>
        <v>0</v>
      </c>
      <c r="BI236" s="111">
        <f>IF($U$236="nulová",$N$236,0)</f>
        <v>0</v>
      </c>
      <c r="BJ236" s="6" t="s">
        <v>18</v>
      </c>
      <c r="BK236" s="112">
        <f>ROUND($L$236*$K$236,3)</f>
        <v>0</v>
      </c>
      <c r="BL236" s="6" t="s">
        <v>120</v>
      </c>
    </row>
    <row r="237" spans="2:65" s="6" customFormat="1" ht="27" customHeight="1" x14ac:dyDescent="0.3">
      <c r="B237" s="19"/>
      <c r="C237" s="104">
        <v>75</v>
      </c>
      <c r="D237" s="104" t="s">
        <v>116</v>
      </c>
      <c r="E237" s="105" t="s">
        <v>183</v>
      </c>
      <c r="F237" s="286" t="s">
        <v>184</v>
      </c>
      <c r="G237" s="285"/>
      <c r="H237" s="285"/>
      <c r="I237" s="285"/>
      <c r="J237" s="106" t="s">
        <v>162</v>
      </c>
      <c r="K237" s="107">
        <f>K231*1.443343445</f>
        <v>1029.392544974</v>
      </c>
      <c r="L237" s="287"/>
      <c r="M237" s="285"/>
      <c r="N237" s="287">
        <f>K237*L237</f>
        <v>0</v>
      </c>
      <c r="O237" s="285"/>
      <c r="P237" s="285"/>
      <c r="Q237" s="285"/>
      <c r="R237" s="20"/>
      <c r="T237" s="108"/>
      <c r="U237" s="26" t="s">
        <v>37</v>
      </c>
      <c r="V237" s="109">
        <v>0.39</v>
      </c>
      <c r="W237" s="109">
        <f>$V$237*$K$237</f>
        <v>401.46309253985999</v>
      </c>
      <c r="X237" s="109">
        <v>0</v>
      </c>
      <c r="Y237" s="109">
        <f>$X$237*$K$237</f>
        <v>0</v>
      </c>
      <c r="Z237" s="109">
        <v>0</v>
      </c>
      <c r="AA237" s="110">
        <f>$Z$237*$K$237</f>
        <v>0</v>
      </c>
      <c r="AC237" s="138"/>
      <c r="AD237" s="138"/>
      <c r="AE237" s="138"/>
      <c r="AF237" s="138"/>
      <c r="AG237" s="138"/>
      <c r="AH237" s="138"/>
      <c r="AI237" s="138"/>
      <c r="AJ237" s="138"/>
      <c r="AR237" s="6" t="s">
        <v>120</v>
      </c>
      <c r="AT237" s="6" t="s">
        <v>116</v>
      </c>
      <c r="AU237" s="6" t="s">
        <v>82</v>
      </c>
      <c r="AY237" s="6" t="s">
        <v>115</v>
      </c>
      <c r="BE237" s="111">
        <f>IF($U$237="základní",$N$237,0)</f>
        <v>0</v>
      </c>
      <c r="BF237" s="111">
        <f>IF($U$237="snížená",$N$237,0)</f>
        <v>0</v>
      </c>
      <c r="BG237" s="111">
        <f>IF($U$237="zákl. přenesená",$N$237,0)</f>
        <v>0</v>
      </c>
      <c r="BH237" s="111">
        <f>IF($U$237="sníž. přenesená",$N$237,0)</f>
        <v>0</v>
      </c>
      <c r="BI237" s="111">
        <f>IF($U$237="nulová",$N$237,0)</f>
        <v>0</v>
      </c>
      <c r="BJ237" s="6" t="s">
        <v>18</v>
      </c>
      <c r="BK237" s="112">
        <f>ROUND($L$237*$K$237,3)</f>
        <v>0</v>
      </c>
      <c r="BL237" s="6" t="s">
        <v>120</v>
      </c>
    </row>
    <row r="238" spans="2:65" s="94" customFormat="1" ht="30.75" customHeight="1" x14ac:dyDescent="0.3">
      <c r="B238" s="196"/>
      <c r="D238" s="197" t="s">
        <v>336</v>
      </c>
      <c r="E238" s="197"/>
      <c r="F238" s="197"/>
      <c r="G238" s="197"/>
      <c r="H238" s="197"/>
      <c r="I238" s="197"/>
      <c r="J238" s="197"/>
      <c r="K238" s="197"/>
      <c r="L238" s="197"/>
      <c r="M238" s="197"/>
      <c r="N238" s="294">
        <f>SUM(N239:Q243)</f>
        <v>0</v>
      </c>
      <c r="O238" s="295"/>
      <c r="P238" s="295"/>
      <c r="Q238" s="295"/>
      <c r="R238" s="198"/>
      <c r="T238" s="199"/>
      <c r="W238" s="200" t="e">
        <f>SUM($W$186:$W$190)</f>
        <v>#REF!</v>
      </c>
      <c r="Y238" s="200" t="e">
        <f>SUM($Y$186:$Y$190)</f>
        <v>#REF!</v>
      </c>
      <c r="AA238" s="201" t="e">
        <f>SUM($AA$186:$AA$190)</f>
        <v>#REF!</v>
      </c>
      <c r="AR238" s="202" t="s">
        <v>18</v>
      </c>
      <c r="AT238" s="202" t="s">
        <v>71</v>
      </c>
      <c r="AU238" s="202" t="s">
        <v>18</v>
      </c>
      <c r="AY238" s="202" t="s">
        <v>115</v>
      </c>
      <c r="BK238" s="203" t="e">
        <f>SUM($BK$186:$BK$190)</f>
        <v>#REF!</v>
      </c>
    </row>
    <row r="239" spans="2:65" s="161" customFormat="1" ht="23.25" customHeight="1" x14ac:dyDescent="0.3">
      <c r="B239" s="19"/>
      <c r="C239" s="104">
        <v>76</v>
      </c>
      <c r="D239" s="104" t="s">
        <v>116</v>
      </c>
      <c r="E239" s="105" t="s">
        <v>319</v>
      </c>
      <c r="F239" s="286" t="s">
        <v>385</v>
      </c>
      <c r="G239" s="285"/>
      <c r="H239" s="285"/>
      <c r="I239" s="285"/>
      <c r="J239" s="106" t="s">
        <v>135</v>
      </c>
      <c r="K239" s="162">
        <v>35.9</v>
      </c>
      <c r="L239" s="287"/>
      <c r="M239" s="285"/>
      <c r="N239" s="287">
        <f>K239*L239</f>
        <v>0</v>
      </c>
      <c r="O239" s="285"/>
      <c r="P239" s="285"/>
      <c r="Q239" s="285"/>
      <c r="R239" s="20"/>
      <c r="T239" s="204"/>
      <c r="U239" s="205" t="s">
        <v>37</v>
      </c>
      <c r="V239" s="206">
        <v>3.6999999999999998E-2</v>
      </c>
      <c r="W239" s="206">
        <f>$V$186*$K$186</f>
        <v>50.256803317500001</v>
      </c>
      <c r="X239" s="206">
        <v>0.155</v>
      </c>
      <c r="Y239" s="206">
        <f>$X$186*$K$186</f>
        <v>0</v>
      </c>
      <c r="Z239" s="206">
        <v>0</v>
      </c>
      <c r="AA239" s="207">
        <f>$Z$186*$K$186</f>
        <v>0</v>
      </c>
      <c r="AR239" s="161" t="s">
        <v>120</v>
      </c>
      <c r="AT239" s="161" t="s">
        <v>116</v>
      </c>
      <c r="AU239" s="161" t="s">
        <v>82</v>
      </c>
      <c r="AY239" s="161" t="s">
        <v>115</v>
      </c>
      <c r="BE239" s="111">
        <f>IF($U$186="základní",$N$186,0)</f>
        <v>0</v>
      </c>
      <c r="BF239" s="111">
        <f>IF($U$186="snížená",$N$186,0)</f>
        <v>0</v>
      </c>
      <c r="BG239" s="111">
        <f>IF($U$186="zákl. přenesená",$N$186,0)</f>
        <v>0</v>
      </c>
      <c r="BH239" s="111">
        <f>IF($U$186="sníž. přenesená",$N$186,0)</f>
        <v>0</v>
      </c>
      <c r="BI239" s="111">
        <f>IF($U$186="nulová",$N$186,0)</f>
        <v>0</v>
      </c>
      <c r="BJ239" s="161" t="s">
        <v>18</v>
      </c>
      <c r="BK239" s="112">
        <f>ROUND($L$186*$K$186,3)</f>
        <v>0</v>
      </c>
      <c r="BL239" s="161" t="s">
        <v>120</v>
      </c>
      <c r="BM239" s="161" t="s">
        <v>320</v>
      </c>
    </row>
    <row r="240" spans="2:65" s="161" customFormat="1" ht="15.75" customHeight="1" x14ac:dyDescent="0.3">
      <c r="B240" s="19"/>
      <c r="C240" s="104">
        <v>77</v>
      </c>
      <c r="D240" s="104" t="s">
        <v>116</v>
      </c>
      <c r="E240" s="105" t="s">
        <v>321</v>
      </c>
      <c r="F240" s="286" t="s">
        <v>322</v>
      </c>
      <c r="G240" s="285"/>
      <c r="H240" s="285"/>
      <c r="I240" s="285"/>
      <c r="J240" s="106" t="s">
        <v>135</v>
      </c>
      <c r="K240" s="162">
        <v>35.9</v>
      </c>
      <c r="L240" s="287"/>
      <c r="M240" s="285"/>
      <c r="N240" s="287">
        <f>K240*L240</f>
        <v>0</v>
      </c>
      <c r="O240" s="285"/>
      <c r="P240" s="285"/>
      <c r="Q240" s="285"/>
      <c r="R240" s="20"/>
      <c r="T240" s="204"/>
      <c r="U240" s="205" t="s">
        <v>37</v>
      </c>
      <c r="V240" s="206">
        <v>2.4E-2</v>
      </c>
      <c r="W240" s="206">
        <f>$V$187*$K$187</f>
        <v>0</v>
      </c>
      <c r="X240" s="206">
        <v>0.15271999999999999</v>
      </c>
      <c r="Y240" s="206">
        <f>$X$187*$K$187</f>
        <v>0</v>
      </c>
      <c r="Z240" s="206">
        <v>0</v>
      </c>
      <c r="AA240" s="207">
        <f>$Z$187*$K$187</f>
        <v>0</v>
      </c>
      <c r="AR240" s="161" t="s">
        <v>120</v>
      </c>
      <c r="AT240" s="161" t="s">
        <v>116</v>
      </c>
      <c r="AU240" s="161" t="s">
        <v>82</v>
      </c>
      <c r="AY240" s="161" t="s">
        <v>115</v>
      </c>
      <c r="BE240" s="111">
        <f>IF($U$187="základní",$N$187,0)</f>
        <v>0</v>
      </c>
      <c r="BF240" s="111">
        <f>IF($U$187="snížená",$N$187,0)</f>
        <v>0</v>
      </c>
      <c r="BG240" s="111">
        <f>IF($U$187="zákl. přenesená",$N$187,0)</f>
        <v>0</v>
      </c>
      <c r="BH240" s="111">
        <f>IF($U$187="sníž. přenesená",$N$187,0)</f>
        <v>0</v>
      </c>
      <c r="BI240" s="111">
        <f>IF($U$187="nulová",$N$187,0)</f>
        <v>0</v>
      </c>
      <c r="BJ240" s="161" t="s">
        <v>18</v>
      </c>
      <c r="BK240" s="112">
        <f>ROUND($L$187*$K$187,3)</f>
        <v>0</v>
      </c>
      <c r="BL240" s="161" t="s">
        <v>120</v>
      </c>
      <c r="BM240" s="161" t="s">
        <v>323</v>
      </c>
    </row>
    <row r="241" spans="2:65" s="161" customFormat="1" ht="15.75" customHeight="1" x14ac:dyDescent="0.3">
      <c r="B241" s="19"/>
      <c r="C241" s="104">
        <v>78</v>
      </c>
      <c r="D241" s="104" t="s">
        <v>116</v>
      </c>
      <c r="E241" s="105" t="s">
        <v>324</v>
      </c>
      <c r="F241" s="286" t="s">
        <v>325</v>
      </c>
      <c r="G241" s="285"/>
      <c r="H241" s="285"/>
      <c r="I241" s="285"/>
      <c r="J241" s="106" t="s">
        <v>135</v>
      </c>
      <c r="K241" s="162">
        <v>35.9</v>
      </c>
      <c r="L241" s="287"/>
      <c r="M241" s="285"/>
      <c r="N241" s="287">
        <f t="shared" ref="N241:N243" si="23">K241*L241</f>
        <v>0</v>
      </c>
      <c r="O241" s="285"/>
      <c r="P241" s="285"/>
      <c r="Q241" s="285"/>
      <c r="R241" s="20"/>
      <c r="T241" s="204"/>
      <c r="U241" s="205" t="s">
        <v>37</v>
      </c>
      <c r="V241" s="206">
        <v>2.5999999999999999E-2</v>
      </c>
      <c r="W241" s="206">
        <f>$V$188*$K$188</f>
        <v>3.77</v>
      </c>
      <c r="X241" s="206">
        <v>0.3</v>
      </c>
      <c r="Y241" s="206">
        <f>$X$188*$K$188</f>
        <v>2.3453891519999996</v>
      </c>
      <c r="Z241" s="206">
        <v>0</v>
      </c>
      <c r="AA241" s="207">
        <f>$Z$188*$K$188</f>
        <v>0</v>
      </c>
      <c r="AR241" s="161" t="s">
        <v>120</v>
      </c>
      <c r="AT241" s="161" t="s">
        <v>116</v>
      </c>
      <c r="AU241" s="161" t="s">
        <v>82</v>
      </c>
      <c r="AY241" s="161" t="s">
        <v>115</v>
      </c>
      <c r="BE241" s="111">
        <f>IF($U$188="základní",$N$188,0)</f>
        <v>0</v>
      </c>
      <c r="BF241" s="111">
        <f>IF($U$188="snížená",$N$188,0)</f>
        <v>0</v>
      </c>
      <c r="BG241" s="111">
        <f>IF($U$188="zákl. přenesená",$N$188,0)</f>
        <v>0</v>
      </c>
      <c r="BH241" s="111">
        <f>IF($U$188="sníž. přenesená",$N$188,0)</f>
        <v>0</v>
      </c>
      <c r="BI241" s="111">
        <f>IF($U$188="nulová",$N$188,0)</f>
        <v>0</v>
      </c>
      <c r="BJ241" s="161" t="s">
        <v>18</v>
      </c>
      <c r="BK241" s="112">
        <f>ROUND($L$188*$K$188,3)</f>
        <v>0</v>
      </c>
      <c r="BL241" s="161" t="s">
        <v>120</v>
      </c>
      <c r="BM241" s="161" t="s">
        <v>326</v>
      </c>
    </row>
    <row r="242" spans="2:65" s="161" customFormat="1" ht="15.75" customHeight="1" x14ac:dyDescent="0.3">
      <c r="B242" s="19"/>
      <c r="C242" s="104">
        <v>79</v>
      </c>
      <c r="D242" s="104" t="s">
        <v>116</v>
      </c>
      <c r="E242" s="105" t="s">
        <v>327</v>
      </c>
      <c r="F242" s="286" t="s">
        <v>328</v>
      </c>
      <c r="G242" s="285"/>
      <c r="H242" s="285"/>
      <c r="I242" s="285"/>
      <c r="J242" s="106" t="s">
        <v>135</v>
      </c>
      <c r="K242" s="162">
        <v>35.9</v>
      </c>
      <c r="L242" s="287"/>
      <c r="M242" s="285"/>
      <c r="N242" s="287">
        <f t="shared" si="23"/>
        <v>0</v>
      </c>
      <c r="O242" s="285"/>
      <c r="P242" s="285"/>
      <c r="Q242" s="285"/>
      <c r="R242" s="20"/>
      <c r="T242" s="204"/>
      <c r="U242" s="205" t="s">
        <v>37</v>
      </c>
      <c r="V242" s="206">
        <v>3.5000000000000003E-2</v>
      </c>
      <c r="W242" s="206">
        <f>$V$189*$K$189</f>
        <v>0</v>
      </c>
      <c r="X242" s="206">
        <v>0</v>
      </c>
      <c r="Y242" s="206">
        <f>$X$189*$K$189</f>
        <v>0.96188360000000006</v>
      </c>
      <c r="Z242" s="206">
        <v>0</v>
      </c>
      <c r="AA242" s="207">
        <f>$Z$189*$K$189</f>
        <v>0</v>
      </c>
      <c r="AR242" s="161" t="s">
        <v>120</v>
      </c>
      <c r="AT242" s="161" t="s">
        <v>116</v>
      </c>
      <c r="AU242" s="161" t="s">
        <v>82</v>
      </c>
      <c r="AY242" s="161" t="s">
        <v>115</v>
      </c>
      <c r="BE242" s="111">
        <f>IF($U$189="základní",$N$189,0)</f>
        <v>0</v>
      </c>
      <c r="BF242" s="111">
        <f>IF($U$189="snížená",$N$189,0)</f>
        <v>0</v>
      </c>
      <c r="BG242" s="111">
        <f>IF($U$189="zákl. přenesená",$N$189,0)</f>
        <v>0</v>
      </c>
      <c r="BH242" s="111">
        <f>IF($U$189="sníž. přenesená",$N$189,0)</f>
        <v>0</v>
      </c>
      <c r="BI242" s="111">
        <f>IF($U$189="nulová",$N$189,0)</f>
        <v>0</v>
      </c>
      <c r="BJ242" s="161" t="s">
        <v>18</v>
      </c>
      <c r="BK242" s="112">
        <f>ROUND($L$189*$K$189,3)</f>
        <v>0</v>
      </c>
      <c r="BL242" s="161" t="s">
        <v>120</v>
      </c>
      <c r="BM242" s="161" t="s">
        <v>329</v>
      </c>
    </row>
    <row r="243" spans="2:65" s="161" customFormat="1" ht="39" customHeight="1" x14ac:dyDescent="0.3">
      <c r="B243" s="19"/>
      <c r="C243" s="104">
        <v>80</v>
      </c>
      <c r="D243" s="104" t="s">
        <v>116</v>
      </c>
      <c r="E243" s="105" t="s">
        <v>195</v>
      </c>
      <c r="F243" s="286" t="s">
        <v>196</v>
      </c>
      <c r="G243" s="285"/>
      <c r="H243" s="285"/>
      <c r="I243" s="285"/>
      <c r="J243" s="106" t="s">
        <v>162</v>
      </c>
      <c r="K243" s="162">
        <f>K239*0.6077203</f>
        <v>21.817158769999999</v>
      </c>
      <c r="L243" s="287"/>
      <c r="M243" s="285"/>
      <c r="N243" s="287">
        <f t="shared" si="23"/>
        <v>0</v>
      </c>
      <c r="O243" s="285"/>
      <c r="P243" s="285"/>
      <c r="Q243" s="285"/>
      <c r="R243" s="20"/>
      <c r="T243" s="204"/>
      <c r="U243" s="205" t="s">
        <v>37</v>
      </c>
      <c r="V243" s="206">
        <v>6.6000000000000003E-2</v>
      </c>
      <c r="W243" s="206">
        <f>$V$190*$K$190</f>
        <v>0</v>
      </c>
      <c r="X243" s="206">
        <v>0</v>
      </c>
      <c r="Y243" s="206">
        <f>$X$190*$K$190</f>
        <v>0</v>
      </c>
      <c r="Z243" s="206">
        <v>0</v>
      </c>
      <c r="AA243" s="207">
        <f>$Z$190*$K$190</f>
        <v>0</v>
      </c>
      <c r="AR243" s="161" t="s">
        <v>120</v>
      </c>
      <c r="AT243" s="161" t="s">
        <v>116</v>
      </c>
      <c r="AU243" s="161" t="s">
        <v>82</v>
      </c>
      <c r="AY243" s="161" t="s">
        <v>115</v>
      </c>
      <c r="BE243" s="111">
        <f>IF($U$190="základní",$N$190,0)</f>
        <v>0</v>
      </c>
      <c r="BF243" s="111">
        <f>IF($U$190="snížená",$N$190,0)</f>
        <v>0</v>
      </c>
      <c r="BG243" s="111">
        <f>IF($U$190="zákl. přenesená",$N$190,0)</f>
        <v>0</v>
      </c>
      <c r="BH243" s="111">
        <f>IF($U$190="sníž. přenesená",$N$190,0)</f>
        <v>0</v>
      </c>
      <c r="BI243" s="111">
        <f>IF($U$190="nulová",$N$190,0)</f>
        <v>0</v>
      </c>
      <c r="BJ243" s="161" t="s">
        <v>18</v>
      </c>
      <c r="BK243" s="112">
        <f>ROUND($L$190*$K$190,3)</f>
        <v>0</v>
      </c>
      <c r="BL243" s="161" t="s">
        <v>120</v>
      </c>
      <c r="BM243" s="161" t="s">
        <v>330</v>
      </c>
    </row>
    <row r="244" spans="2:65" s="94" customFormat="1" ht="30.75" customHeight="1" x14ac:dyDescent="0.3">
      <c r="B244" s="196"/>
      <c r="D244" s="197" t="s">
        <v>337</v>
      </c>
      <c r="E244" s="197"/>
      <c r="F244" s="197"/>
      <c r="G244" s="197"/>
      <c r="H244" s="197"/>
      <c r="I244" s="197"/>
      <c r="J244" s="197"/>
      <c r="K244" s="197"/>
      <c r="L244" s="197"/>
      <c r="M244" s="197"/>
      <c r="N244" s="294">
        <f>SUM(N245:Q247)</f>
        <v>0</v>
      </c>
      <c r="O244" s="295"/>
      <c r="P244" s="295"/>
      <c r="Q244" s="295"/>
      <c r="R244" s="198"/>
      <c r="T244" s="199"/>
      <c r="W244" s="200" t="e">
        <f>SUM($W$186:$W$190)</f>
        <v>#REF!</v>
      </c>
      <c r="Y244" s="200" t="e">
        <f>SUM($Y$186:$Y$190)</f>
        <v>#REF!</v>
      </c>
      <c r="AA244" s="201" t="e">
        <f>SUM($AA$186:$AA$190)</f>
        <v>#REF!</v>
      </c>
      <c r="AR244" s="202" t="s">
        <v>18</v>
      </c>
      <c r="AT244" s="202" t="s">
        <v>71</v>
      </c>
      <c r="AU244" s="202" t="s">
        <v>18</v>
      </c>
      <c r="AY244" s="202" t="s">
        <v>115</v>
      </c>
      <c r="BK244" s="203" t="e">
        <f>SUM($BK$186:$BK$190)</f>
        <v>#REF!</v>
      </c>
    </row>
    <row r="245" spans="2:65" s="161" customFormat="1" ht="27.75" customHeight="1" x14ac:dyDescent="0.3">
      <c r="B245" s="19"/>
      <c r="C245" s="104">
        <v>81</v>
      </c>
      <c r="D245" s="104" t="s">
        <v>116</v>
      </c>
      <c r="E245" s="105" t="s">
        <v>319</v>
      </c>
      <c r="F245" s="286" t="s">
        <v>385</v>
      </c>
      <c r="G245" s="285"/>
      <c r="H245" s="285"/>
      <c r="I245" s="285"/>
      <c r="J245" s="106" t="s">
        <v>135</v>
      </c>
      <c r="K245" s="162">
        <v>196.6</v>
      </c>
      <c r="L245" s="287"/>
      <c r="M245" s="285"/>
      <c r="N245" s="287">
        <f>K245*L245</f>
        <v>0</v>
      </c>
      <c r="O245" s="285"/>
      <c r="P245" s="285"/>
      <c r="Q245" s="285"/>
      <c r="R245" s="20"/>
      <c r="T245" s="204"/>
      <c r="U245" s="205" t="s">
        <v>37</v>
      </c>
      <c r="V245" s="206">
        <v>3.6999999999999998E-2</v>
      </c>
      <c r="W245" s="206">
        <f>$V$186*$K$186</f>
        <v>50.256803317500001</v>
      </c>
      <c r="X245" s="206">
        <v>0.155</v>
      </c>
      <c r="Y245" s="206">
        <f>$X$186*$K$186</f>
        <v>0</v>
      </c>
      <c r="Z245" s="206">
        <v>0</v>
      </c>
      <c r="AA245" s="207">
        <f>$Z$186*$K$186</f>
        <v>0</v>
      </c>
      <c r="AR245" s="161" t="s">
        <v>120</v>
      </c>
      <c r="AT245" s="161" t="s">
        <v>116</v>
      </c>
      <c r="AU245" s="161" t="s">
        <v>82</v>
      </c>
      <c r="AY245" s="161" t="s">
        <v>115</v>
      </c>
      <c r="BE245" s="111">
        <f>IF($U$186="základní",$N$186,0)</f>
        <v>0</v>
      </c>
      <c r="BF245" s="111">
        <f>IF($U$186="snížená",$N$186,0)</f>
        <v>0</v>
      </c>
      <c r="BG245" s="111">
        <f>IF($U$186="zákl. přenesená",$N$186,0)</f>
        <v>0</v>
      </c>
      <c r="BH245" s="111">
        <f>IF($U$186="sníž. přenesená",$N$186,0)</f>
        <v>0</v>
      </c>
      <c r="BI245" s="111">
        <f>IF($U$186="nulová",$N$186,0)</f>
        <v>0</v>
      </c>
      <c r="BJ245" s="161" t="s">
        <v>18</v>
      </c>
      <c r="BK245" s="112">
        <f>ROUND($L$186*$K$186,3)</f>
        <v>0</v>
      </c>
      <c r="BL245" s="161" t="s">
        <v>120</v>
      </c>
      <c r="BM245" s="161" t="s">
        <v>320</v>
      </c>
    </row>
    <row r="246" spans="2:65" s="161" customFormat="1" ht="15.75" customHeight="1" x14ac:dyDescent="0.3">
      <c r="B246" s="19"/>
      <c r="C246" s="104">
        <v>82</v>
      </c>
      <c r="D246" s="104" t="s">
        <v>116</v>
      </c>
      <c r="E246" s="105" t="s">
        <v>327</v>
      </c>
      <c r="F246" s="286" t="s">
        <v>328</v>
      </c>
      <c r="G246" s="285"/>
      <c r="H246" s="285"/>
      <c r="I246" s="285"/>
      <c r="J246" s="106" t="s">
        <v>135</v>
      </c>
      <c r="K246" s="162">
        <v>196.6</v>
      </c>
      <c r="L246" s="287"/>
      <c r="M246" s="285"/>
      <c r="N246" s="287">
        <f t="shared" ref="N246:N247" si="24">K246*L246</f>
        <v>0</v>
      </c>
      <c r="O246" s="285"/>
      <c r="P246" s="285"/>
      <c r="Q246" s="285"/>
      <c r="R246" s="20"/>
      <c r="T246" s="204"/>
      <c r="U246" s="205" t="s">
        <v>37</v>
      </c>
      <c r="V246" s="206">
        <v>3.5000000000000003E-2</v>
      </c>
      <c r="W246" s="206">
        <f>$V$189*$K$189</f>
        <v>0</v>
      </c>
      <c r="X246" s="206">
        <v>0</v>
      </c>
      <c r="Y246" s="206">
        <f>$X$189*$K$189</f>
        <v>0.96188360000000006</v>
      </c>
      <c r="Z246" s="206">
        <v>0</v>
      </c>
      <c r="AA246" s="207">
        <f>$Z$189*$K$189</f>
        <v>0</v>
      </c>
      <c r="AR246" s="161" t="s">
        <v>120</v>
      </c>
      <c r="AT246" s="161" t="s">
        <v>116</v>
      </c>
      <c r="AU246" s="161" t="s">
        <v>82</v>
      </c>
      <c r="AY246" s="161" t="s">
        <v>115</v>
      </c>
      <c r="BE246" s="111">
        <f>IF($U$189="základní",$N$189,0)</f>
        <v>0</v>
      </c>
      <c r="BF246" s="111">
        <f>IF($U$189="snížená",$N$189,0)</f>
        <v>0</v>
      </c>
      <c r="BG246" s="111">
        <f>IF($U$189="zákl. přenesená",$N$189,0)</f>
        <v>0</v>
      </c>
      <c r="BH246" s="111">
        <f>IF($U$189="sníž. přenesená",$N$189,0)</f>
        <v>0</v>
      </c>
      <c r="BI246" s="111">
        <f>IF($U$189="nulová",$N$189,0)</f>
        <v>0</v>
      </c>
      <c r="BJ246" s="161" t="s">
        <v>18</v>
      </c>
      <c r="BK246" s="112">
        <f>ROUND($L$189*$K$189,3)</f>
        <v>0</v>
      </c>
      <c r="BL246" s="161" t="s">
        <v>120</v>
      </c>
      <c r="BM246" s="161" t="s">
        <v>329</v>
      </c>
    </row>
    <row r="247" spans="2:65" s="161" customFormat="1" ht="39" customHeight="1" x14ac:dyDescent="0.3">
      <c r="B247" s="19"/>
      <c r="C247" s="104">
        <v>83</v>
      </c>
      <c r="D247" s="104" t="s">
        <v>116</v>
      </c>
      <c r="E247" s="105" t="s">
        <v>195</v>
      </c>
      <c r="F247" s="286" t="s">
        <v>196</v>
      </c>
      <c r="G247" s="285"/>
      <c r="H247" s="285"/>
      <c r="I247" s="285"/>
      <c r="J247" s="106" t="s">
        <v>162</v>
      </c>
      <c r="K247" s="162">
        <f>K245*0.2077203</f>
        <v>40.83781098</v>
      </c>
      <c r="L247" s="287"/>
      <c r="M247" s="285"/>
      <c r="N247" s="287">
        <f t="shared" si="24"/>
        <v>0</v>
      </c>
      <c r="O247" s="285"/>
      <c r="P247" s="285"/>
      <c r="Q247" s="285"/>
      <c r="R247" s="20"/>
      <c r="T247" s="204"/>
      <c r="U247" s="205" t="s">
        <v>37</v>
      </c>
      <c r="V247" s="206">
        <v>6.6000000000000003E-2</v>
      </c>
      <c r="W247" s="206">
        <f>$V$190*$K$190</f>
        <v>0</v>
      </c>
      <c r="X247" s="206">
        <v>0</v>
      </c>
      <c r="Y247" s="206">
        <f>$X$190*$K$190</f>
        <v>0</v>
      </c>
      <c r="Z247" s="206">
        <v>0</v>
      </c>
      <c r="AA247" s="207">
        <f>$Z$190*$K$190</f>
        <v>0</v>
      </c>
      <c r="AR247" s="161" t="s">
        <v>120</v>
      </c>
      <c r="AT247" s="161" t="s">
        <v>116</v>
      </c>
      <c r="AU247" s="161" t="s">
        <v>82</v>
      </c>
      <c r="AY247" s="161" t="s">
        <v>115</v>
      </c>
      <c r="BE247" s="111">
        <f>IF($U$190="základní",$N$190,0)</f>
        <v>0</v>
      </c>
      <c r="BF247" s="111">
        <f>IF($U$190="snížená",$N$190,0)</f>
        <v>0</v>
      </c>
      <c r="BG247" s="111">
        <f>IF($U$190="zákl. přenesená",$N$190,0)</f>
        <v>0</v>
      </c>
      <c r="BH247" s="111">
        <f>IF($U$190="sníž. přenesená",$N$190,0)</f>
        <v>0</v>
      </c>
      <c r="BI247" s="111">
        <f>IF($U$190="nulová",$N$190,0)</f>
        <v>0</v>
      </c>
      <c r="BJ247" s="161" t="s">
        <v>18</v>
      </c>
      <c r="BK247" s="112">
        <f>ROUND($L$190*$K$190,3)</f>
        <v>0</v>
      </c>
      <c r="BL247" s="161" t="s">
        <v>120</v>
      </c>
      <c r="BM247" s="161" t="s">
        <v>330</v>
      </c>
    </row>
    <row r="248" spans="2:65" s="94" customFormat="1" ht="30.75" customHeight="1" x14ac:dyDescent="0.3">
      <c r="B248" s="95"/>
      <c r="D248" s="197" t="s">
        <v>338</v>
      </c>
      <c r="N248" s="300">
        <f>SUM(N249:Q254)</f>
        <v>0</v>
      </c>
      <c r="O248" s="301"/>
      <c r="P248" s="301"/>
      <c r="Q248" s="301"/>
      <c r="R248" s="98"/>
      <c r="T248" s="99"/>
      <c r="W248" s="100">
        <f>SUM($W$249:$W$254)</f>
        <v>20.6726475004</v>
      </c>
      <c r="Y248" s="100">
        <f>SUM($Y$249:$Y$254)</f>
        <v>6.392525</v>
      </c>
      <c r="AA248" s="101">
        <f>SUM($AA$249:$AA$254)</f>
        <v>0</v>
      </c>
      <c r="AC248" s="140"/>
      <c r="AD248" s="140"/>
      <c r="AE248" s="140"/>
      <c r="AF248" s="140"/>
      <c r="AG248" s="140"/>
      <c r="AH248" s="140"/>
      <c r="AI248" s="140"/>
      <c r="AJ248" s="140"/>
      <c r="AR248" s="97" t="s">
        <v>18</v>
      </c>
      <c r="AT248" s="97" t="s">
        <v>71</v>
      </c>
      <c r="AU248" s="97" t="s">
        <v>18</v>
      </c>
      <c r="AY248" s="97" t="s">
        <v>115</v>
      </c>
      <c r="BK248" s="102">
        <f>SUM($BK$249:$BK$254)</f>
        <v>0</v>
      </c>
    </row>
    <row r="249" spans="2:65" s="6" customFormat="1" ht="27" customHeight="1" x14ac:dyDescent="0.3">
      <c r="B249" s="19"/>
      <c r="C249" s="104">
        <v>84</v>
      </c>
      <c r="D249" s="104" t="s">
        <v>116</v>
      </c>
      <c r="E249" s="105" t="s">
        <v>214</v>
      </c>
      <c r="F249" s="286" t="s">
        <v>215</v>
      </c>
      <c r="G249" s="285"/>
      <c r="H249" s="285"/>
      <c r="I249" s="285"/>
      <c r="J249" s="106" t="s">
        <v>135</v>
      </c>
      <c r="K249" s="107">
        <v>106.1</v>
      </c>
      <c r="L249" s="287"/>
      <c r="M249" s="285"/>
      <c r="N249" s="287">
        <f>K249*L249</f>
        <v>0</v>
      </c>
      <c r="O249" s="285"/>
      <c r="P249" s="285"/>
      <c r="Q249" s="285"/>
      <c r="R249" s="20"/>
      <c r="T249" s="108"/>
      <c r="U249" s="26" t="s">
        <v>37</v>
      </c>
      <c r="V249" s="109">
        <v>0.13</v>
      </c>
      <c r="W249" s="109">
        <f>$V$249*$K$249</f>
        <v>13.792999999999999</v>
      </c>
      <c r="X249" s="109">
        <v>0</v>
      </c>
      <c r="Y249" s="109">
        <f>$X$249*$K$249</f>
        <v>0</v>
      </c>
      <c r="Z249" s="109">
        <v>0</v>
      </c>
      <c r="AA249" s="110">
        <f>$Z$249*$K$249</f>
        <v>0</v>
      </c>
      <c r="AC249" s="138"/>
      <c r="AD249" s="138"/>
      <c r="AE249" s="138"/>
      <c r="AF249" s="138"/>
      <c r="AG249" s="138"/>
      <c r="AH249" s="138"/>
      <c r="AI249" s="138"/>
      <c r="AJ249" s="138"/>
      <c r="AR249" s="6" t="s">
        <v>120</v>
      </c>
      <c r="AT249" s="6" t="s">
        <v>116</v>
      </c>
      <c r="AU249" s="6" t="s">
        <v>82</v>
      </c>
      <c r="AY249" s="6" t="s">
        <v>115</v>
      </c>
      <c r="BE249" s="111">
        <f>IF($U$249="základní",$N$249,0)</f>
        <v>0</v>
      </c>
      <c r="BF249" s="111">
        <f>IF($U$249="snížená",$N$249,0)</f>
        <v>0</v>
      </c>
      <c r="BG249" s="111">
        <f>IF($U$249="zákl. přenesená",$N$249,0)</f>
        <v>0</v>
      </c>
      <c r="BH249" s="111">
        <f>IF($U$249="sníž. přenesená",$N$249,0)</f>
        <v>0</v>
      </c>
      <c r="BI249" s="111">
        <f>IF($U$249="nulová",$N$249,0)</f>
        <v>0</v>
      </c>
      <c r="BJ249" s="6" t="s">
        <v>18</v>
      </c>
      <c r="BK249" s="112">
        <f>ROUND($L$249*$K$249,3)</f>
        <v>0</v>
      </c>
      <c r="BL249" s="6" t="s">
        <v>120</v>
      </c>
    </row>
    <row r="250" spans="2:65" s="6" customFormat="1" ht="15.75" customHeight="1" x14ac:dyDescent="0.3">
      <c r="B250" s="19"/>
      <c r="C250" s="125">
        <v>85</v>
      </c>
      <c r="D250" s="125" t="s">
        <v>180</v>
      </c>
      <c r="E250" s="126" t="s">
        <v>216</v>
      </c>
      <c r="F250" s="282" t="s">
        <v>217</v>
      </c>
      <c r="G250" s="283"/>
      <c r="H250" s="283"/>
      <c r="I250" s="283"/>
      <c r="J250" s="127" t="s">
        <v>119</v>
      </c>
      <c r="K250" s="128">
        <f>K249/10</f>
        <v>10.61</v>
      </c>
      <c r="L250" s="284"/>
      <c r="M250" s="283"/>
      <c r="N250" s="284">
        <f>K250*L250</f>
        <v>0</v>
      </c>
      <c r="O250" s="285"/>
      <c r="P250" s="285"/>
      <c r="Q250" s="285"/>
      <c r="R250" s="20"/>
      <c r="T250" s="108"/>
      <c r="U250" s="26" t="s">
        <v>37</v>
      </c>
      <c r="V250" s="109">
        <v>0</v>
      </c>
      <c r="W250" s="109">
        <f>$V$250*$K$250</f>
        <v>0</v>
      </c>
      <c r="X250" s="109">
        <v>0.6</v>
      </c>
      <c r="Y250" s="109">
        <f>$X$250*$K$250</f>
        <v>6.3659999999999997</v>
      </c>
      <c r="Z250" s="109">
        <v>0</v>
      </c>
      <c r="AA250" s="110">
        <f>$Z$250*$K$250</f>
        <v>0</v>
      </c>
      <c r="AC250" s="138"/>
      <c r="AD250" s="138"/>
      <c r="AE250" s="138"/>
      <c r="AF250" s="138"/>
      <c r="AG250" s="138"/>
      <c r="AH250" s="138"/>
      <c r="AI250" s="138"/>
      <c r="AJ250" s="138"/>
      <c r="AR250" s="6" t="s">
        <v>139</v>
      </c>
      <c r="AT250" s="6" t="s">
        <v>180</v>
      </c>
      <c r="AU250" s="6" t="s">
        <v>82</v>
      </c>
      <c r="AY250" s="6" t="s">
        <v>115</v>
      </c>
      <c r="BE250" s="111">
        <f>IF($U$250="základní",$N$250,0)</f>
        <v>0</v>
      </c>
      <c r="BF250" s="111">
        <f>IF($U$250="snížená",$N$250,0)</f>
        <v>0</v>
      </c>
      <c r="BG250" s="111">
        <f>IF($U$250="zákl. přenesená",$N$250,0)</f>
        <v>0</v>
      </c>
      <c r="BH250" s="111">
        <f>IF($U$250="sníž. přenesená",$N$250,0)</f>
        <v>0</v>
      </c>
      <c r="BI250" s="111">
        <f>IF($U$250="nulová",$N$250,0)</f>
        <v>0</v>
      </c>
      <c r="BJ250" s="6" t="s">
        <v>18</v>
      </c>
      <c r="BK250" s="112">
        <f>ROUND($L$250*$K$250,3)</f>
        <v>0</v>
      </c>
      <c r="BL250" s="6" t="s">
        <v>120</v>
      </c>
    </row>
    <row r="251" spans="2:65" s="6" customFormat="1" ht="27" customHeight="1" x14ac:dyDescent="0.3">
      <c r="B251" s="19"/>
      <c r="C251" s="104">
        <v>86</v>
      </c>
      <c r="D251" s="104" t="s">
        <v>116</v>
      </c>
      <c r="E251" s="105" t="s">
        <v>218</v>
      </c>
      <c r="F251" s="286" t="s">
        <v>219</v>
      </c>
      <c r="G251" s="285"/>
      <c r="H251" s="285"/>
      <c r="I251" s="285"/>
      <c r="J251" s="106" t="s">
        <v>135</v>
      </c>
      <c r="K251" s="107">
        <f>K249</f>
        <v>106.1</v>
      </c>
      <c r="L251" s="287"/>
      <c r="M251" s="285"/>
      <c r="N251" s="287">
        <f>K251*L251</f>
        <v>0</v>
      </c>
      <c r="O251" s="285"/>
      <c r="P251" s="285"/>
      <c r="Q251" s="285"/>
      <c r="R251" s="20"/>
      <c r="T251" s="108"/>
      <c r="U251" s="26" t="s">
        <v>37</v>
      </c>
      <c r="V251" s="109">
        <v>5.8000000000000003E-2</v>
      </c>
      <c r="W251" s="109">
        <f>$V$251*$K$251</f>
        <v>6.1538000000000004</v>
      </c>
      <c r="X251" s="109">
        <v>0</v>
      </c>
      <c r="Y251" s="109">
        <f>$X$251*$K$251</f>
        <v>0</v>
      </c>
      <c r="Z251" s="109">
        <v>0</v>
      </c>
      <c r="AA251" s="110">
        <f>$Z$251*$K$251</f>
        <v>0</v>
      </c>
      <c r="AC251" s="138"/>
      <c r="AD251" s="138"/>
      <c r="AE251" s="138"/>
      <c r="AF251" s="138"/>
      <c r="AG251" s="138"/>
      <c r="AH251" s="138"/>
      <c r="AI251" s="138"/>
      <c r="AJ251" s="138"/>
      <c r="AR251" s="6" t="s">
        <v>120</v>
      </c>
      <c r="AT251" s="6" t="s">
        <v>116</v>
      </c>
      <c r="AU251" s="6" t="s">
        <v>82</v>
      </c>
      <c r="AY251" s="6" t="s">
        <v>115</v>
      </c>
      <c r="BE251" s="111">
        <f>IF($U$251="základní",$N$251,0)</f>
        <v>0</v>
      </c>
      <c r="BF251" s="111">
        <f>IF($U$251="snížená",$N$251,0)</f>
        <v>0</v>
      </c>
      <c r="BG251" s="111">
        <f>IF($U$251="zákl. přenesená",$N$251,0)</f>
        <v>0</v>
      </c>
      <c r="BH251" s="111">
        <f>IF($U$251="sníž. přenesená",$N$251,0)</f>
        <v>0</v>
      </c>
      <c r="BI251" s="111">
        <f>IF($U$251="nulová",$N$251,0)</f>
        <v>0</v>
      </c>
      <c r="BJ251" s="6" t="s">
        <v>18</v>
      </c>
      <c r="BK251" s="112">
        <f>ROUND($L$251*$K$251,3)</f>
        <v>0</v>
      </c>
      <c r="BL251" s="6" t="s">
        <v>120</v>
      </c>
    </row>
    <row r="252" spans="2:65" s="6" customFormat="1" ht="15.75" customHeight="1" x14ac:dyDescent="0.3">
      <c r="B252" s="19"/>
      <c r="C252" s="125">
        <v>87</v>
      </c>
      <c r="D252" s="125" t="s">
        <v>180</v>
      </c>
      <c r="E252" s="126" t="s">
        <v>220</v>
      </c>
      <c r="F252" s="282" t="s">
        <v>221</v>
      </c>
      <c r="G252" s="283"/>
      <c r="H252" s="283"/>
      <c r="I252" s="283"/>
      <c r="J252" s="127" t="s">
        <v>222</v>
      </c>
      <c r="K252" s="128">
        <f>K253</f>
        <v>26.524999999999999</v>
      </c>
      <c r="L252" s="284"/>
      <c r="M252" s="283"/>
      <c r="N252" s="284">
        <f>K252*L252</f>
        <v>0</v>
      </c>
      <c r="O252" s="285"/>
      <c r="P252" s="285"/>
      <c r="Q252" s="285"/>
      <c r="R252" s="20"/>
      <c r="T252" s="108"/>
      <c r="U252" s="26" t="s">
        <v>37</v>
      </c>
      <c r="V252" s="109">
        <v>0</v>
      </c>
      <c r="W252" s="109">
        <f>$V$252*$K$252</f>
        <v>0</v>
      </c>
      <c r="X252" s="109">
        <v>1E-3</v>
      </c>
      <c r="Y252" s="109">
        <f>$X$252*$K$252</f>
        <v>2.6525E-2</v>
      </c>
      <c r="Z252" s="109">
        <v>0</v>
      </c>
      <c r="AA252" s="110">
        <f>$Z$252*$K$252</f>
        <v>0</v>
      </c>
      <c r="AC252" s="138"/>
      <c r="AD252" s="138"/>
      <c r="AE252" s="138"/>
      <c r="AF252" s="138"/>
      <c r="AG252" s="138"/>
      <c r="AH252" s="138"/>
      <c r="AI252" s="138"/>
      <c r="AJ252" s="138"/>
      <c r="AR252" s="6" t="s">
        <v>139</v>
      </c>
      <c r="AT252" s="6" t="s">
        <v>180</v>
      </c>
      <c r="AU252" s="6" t="s">
        <v>82</v>
      </c>
      <c r="AY252" s="6" t="s">
        <v>115</v>
      </c>
      <c r="BE252" s="111">
        <f>IF($U$252="základní",$N$252,0)</f>
        <v>0</v>
      </c>
      <c r="BF252" s="111">
        <f>IF($U$252="snížená",$N$252,0)</f>
        <v>0</v>
      </c>
      <c r="BG252" s="111">
        <f>IF($U$252="zákl. přenesená",$N$252,0)</f>
        <v>0</v>
      </c>
      <c r="BH252" s="111">
        <f>IF($U$252="sníž. přenesená",$N$252,0)</f>
        <v>0</v>
      </c>
      <c r="BI252" s="111">
        <f>IF($U$252="nulová",$N$252,0)</f>
        <v>0</v>
      </c>
      <c r="BJ252" s="6" t="s">
        <v>18</v>
      </c>
      <c r="BK252" s="112">
        <f>ROUND($L$252*$K$252,3)</f>
        <v>0</v>
      </c>
      <c r="BL252" s="6" t="s">
        <v>120</v>
      </c>
    </row>
    <row r="253" spans="2:65" s="6" customFormat="1" ht="15.75" customHeight="1" x14ac:dyDescent="0.3">
      <c r="B253" s="113"/>
      <c r="E253" s="114"/>
      <c r="F253" s="325" t="s">
        <v>339</v>
      </c>
      <c r="G253" s="309"/>
      <c r="H253" s="309"/>
      <c r="I253" s="309"/>
      <c r="K253" s="115">
        <f>K249*0.25</f>
        <v>26.524999999999999</v>
      </c>
      <c r="R253" s="116"/>
      <c r="T253" s="117"/>
      <c r="AA253" s="118"/>
      <c r="AC253" s="138"/>
      <c r="AD253" s="138"/>
      <c r="AE253" s="138"/>
      <c r="AF253" s="138"/>
      <c r="AG253" s="138"/>
      <c r="AH253" s="138"/>
      <c r="AI253" s="138"/>
      <c r="AJ253" s="138"/>
      <c r="AT253" s="114" t="s">
        <v>128</v>
      </c>
      <c r="AU253" s="114" t="s">
        <v>82</v>
      </c>
      <c r="AV253" s="114" t="s">
        <v>82</v>
      </c>
      <c r="AW253" s="114" t="s">
        <v>88</v>
      </c>
      <c r="AX253" s="114" t="s">
        <v>18</v>
      </c>
      <c r="AY253" s="114" t="s">
        <v>115</v>
      </c>
    </row>
    <row r="254" spans="2:65" s="6" customFormat="1" ht="39" customHeight="1" x14ac:dyDescent="0.3">
      <c r="B254" s="19"/>
      <c r="C254" s="104">
        <v>88</v>
      </c>
      <c r="D254" s="104" t="s">
        <v>116</v>
      </c>
      <c r="E254" s="105" t="s">
        <v>195</v>
      </c>
      <c r="F254" s="286" t="s">
        <v>196</v>
      </c>
      <c r="G254" s="285"/>
      <c r="H254" s="285"/>
      <c r="I254" s="285"/>
      <c r="J254" s="106" t="s">
        <v>162</v>
      </c>
      <c r="K254" s="107">
        <f>K249*0.103654</f>
        <v>10.997689399999999</v>
      </c>
      <c r="L254" s="287"/>
      <c r="M254" s="285"/>
      <c r="N254" s="287">
        <f>K254*L254</f>
        <v>0</v>
      </c>
      <c r="O254" s="285"/>
      <c r="P254" s="285"/>
      <c r="Q254" s="285"/>
      <c r="R254" s="20"/>
      <c r="T254" s="108"/>
      <c r="U254" s="26" t="s">
        <v>37</v>
      </c>
      <c r="V254" s="109">
        <v>6.6000000000000003E-2</v>
      </c>
      <c r="W254" s="109">
        <f>$V$254*$K$254</f>
        <v>0.7258475003999999</v>
      </c>
      <c r="X254" s="109">
        <v>0</v>
      </c>
      <c r="Y254" s="109">
        <f>$X$254*$K$254</f>
        <v>0</v>
      </c>
      <c r="Z254" s="109">
        <v>0</v>
      </c>
      <c r="AA254" s="110">
        <f>$Z$254*$K$254</f>
        <v>0</v>
      </c>
      <c r="AC254" s="138"/>
      <c r="AD254" s="138"/>
      <c r="AE254" s="138"/>
      <c r="AF254" s="138"/>
      <c r="AG254" s="138"/>
      <c r="AH254" s="138"/>
      <c r="AI254" s="138"/>
      <c r="AJ254" s="138"/>
      <c r="AR254" s="6" t="s">
        <v>120</v>
      </c>
      <c r="AT254" s="6" t="s">
        <v>116</v>
      </c>
      <c r="AU254" s="6" t="s">
        <v>82</v>
      </c>
      <c r="AY254" s="6" t="s">
        <v>115</v>
      </c>
      <c r="BE254" s="111">
        <f>IF($U$254="základní",$N$254,0)</f>
        <v>0</v>
      </c>
      <c r="BF254" s="111">
        <f>IF($U$254="snížená",$N$254,0)</f>
        <v>0</v>
      </c>
      <c r="BG254" s="111">
        <f>IF($U$254="zákl. přenesená",$N$254,0)</f>
        <v>0</v>
      </c>
      <c r="BH254" s="111">
        <f>IF($U$254="sníž. přenesená",$N$254,0)</f>
        <v>0</v>
      </c>
      <c r="BI254" s="111">
        <f>IF($U$254="nulová",$N$254,0)</f>
        <v>0</v>
      </c>
      <c r="BJ254" s="6" t="s">
        <v>18</v>
      </c>
      <c r="BK254" s="112">
        <f>ROUND($L$254*$K$254,3)</f>
        <v>0</v>
      </c>
      <c r="BL254" s="6" t="s">
        <v>120</v>
      </c>
    </row>
    <row r="255" spans="2:65" s="94" customFormat="1" ht="30.75" customHeight="1" x14ac:dyDescent="0.3">
      <c r="B255" s="95"/>
      <c r="C255" s="218"/>
      <c r="D255" s="219" t="s">
        <v>350</v>
      </c>
      <c r="E255" s="218"/>
      <c r="F255" s="218"/>
      <c r="G255" s="218"/>
      <c r="H255" s="218"/>
      <c r="I255" s="218"/>
      <c r="J255" s="218"/>
      <c r="K255" s="218"/>
      <c r="L255" s="218"/>
      <c r="M255" s="218"/>
      <c r="N255" s="303">
        <f>SUM(N256:Q268)</f>
        <v>0</v>
      </c>
      <c r="O255" s="304"/>
      <c r="P255" s="304"/>
      <c r="Q255" s="304"/>
      <c r="R255" s="220"/>
      <c r="T255" s="99"/>
      <c r="W255" s="100">
        <f>SUM($W$249:$W$254)</f>
        <v>20.6726475004</v>
      </c>
      <c r="Y255" s="100">
        <f>SUM($Y$249:$Y$254)</f>
        <v>6.392525</v>
      </c>
      <c r="AA255" s="101">
        <f>SUM($AA$249:$AA$254)</f>
        <v>0</v>
      </c>
      <c r="AC255" s="140"/>
      <c r="AD255" s="140"/>
      <c r="AE255" s="140"/>
      <c r="AF255" s="140"/>
      <c r="AG255" s="140"/>
      <c r="AH255" s="140"/>
      <c r="AI255" s="140"/>
      <c r="AJ255" s="140"/>
      <c r="AR255" s="163" t="s">
        <v>18</v>
      </c>
      <c r="AT255" s="163" t="s">
        <v>71</v>
      </c>
      <c r="AU255" s="163" t="s">
        <v>18</v>
      </c>
      <c r="AY255" s="163" t="s">
        <v>115</v>
      </c>
      <c r="BK255" s="102">
        <f>SUM($BK$249:$BK$254)</f>
        <v>0</v>
      </c>
    </row>
    <row r="256" spans="2:65" s="161" customFormat="1" ht="27" customHeight="1" x14ac:dyDescent="0.3">
      <c r="B256" s="19"/>
      <c r="C256" s="221">
        <v>89</v>
      </c>
      <c r="D256" s="221" t="s">
        <v>116</v>
      </c>
      <c r="E256" s="222" t="s">
        <v>351</v>
      </c>
      <c r="F256" s="292" t="s">
        <v>352</v>
      </c>
      <c r="G256" s="291"/>
      <c r="H256" s="291"/>
      <c r="I256" s="291"/>
      <c r="J256" s="223" t="s">
        <v>285</v>
      </c>
      <c r="K256" s="224">
        <v>8</v>
      </c>
      <c r="L256" s="293"/>
      <c r="M256" s="291"/>
      <c r="N256" s="293">
        <f t="shared" ref="N256:N261" si="25">K256*L256</f>
        <v>0</v>
      </c>
      <c r="O256" s="291"/>
      <c r="P256" s="291"/>
      <c r="Q256" s="291"/>
      <c r="R256" s="225"/>
      <c r="T256" s="108"/>
      <c r="U256" s="26" t="s">
        <v>37</v>
      </c>
      <c r="V256" s="109">
        <v>0.13</v>
      </c>
      <c r="W256" s="109">
        <f>$V$249*$K$249</f>
        <v>13.792999999999999</v>
      </c>
      <c r="X256" s="109">
        <v>0</v>
      </c>
      <c r="Y256" s="109">
        <f>$X$249*$K$249</f>
        <v>0</v>
      </c>
      <c r="Z256" s="109">
        <v>0</v>
      </c>
      <c r="AA256" s="110">
        <f>$Z$249*$K$249</f>
        <v>0</v>
      </c>
      <c r="AC256" s="138"/>
      <c r="AD256" s="138"/>
      <c r="AE256" s="138"/>
      <c r="AF256" s="138"/>
      <c r="AG256" s="138"/>
      <c r="AH256" s="138"/>
      <c r="AI256" s="138"/>
      <c r="AJ256" s="138"/>
      <c r="AR256" s="161" t="s">
        <v>120</v>
      </c>
      <c r="AT256" s="161" t="s">
        <v>116</v>
      </c>
      <c r="AU256" s="161" t="s">
        <v>82</v>
      </c>
      <c r="AY256" s="161" t="s">
        <v>115</v>
      </c>
      <c r="BE256" s="111">
        <f>IF($U$249="základní",$N$249,0)</f>
        <v>0</v>
      </c>
      <c r="BF256" s="111">
        <f>IF($U$249="snížená",$N$249,0)</f>
        <v>0</v>
      </c>
      <c r="BG256" s="111">
        <f>IF($U$249="zákl. přenesená",$N$249,0)</f>
        <v>0</v>
      </c>
      <c r="BH256" s="111">
        <f>IF($U$249="sníž. přenesená",$N$249,0)</f>
        <v>0</v>
      </c>
      <c r="BI256" s="111">
        <f>IF($U$249="nulová",$N$249,0)</f>
        <v>0</v>
      </c>
      <c r="BJ256" s="161" t="s">
        <v>18</v>
      </c>
      <c r="BK256" s="112">
        <f>ROUND($L$249*$K$249,3)</f>
        <v>0</v>
      </c>
      <c r="BL256" s="161" t="s">
        <v>120</v>
      </c>
    </row>
    <row r="257" spans="2:64" s="161" customFormat="1" ht="15.75" customHeight="1" x14ac:dyDescent="0.3">
      <c r="B257" s="19"/>
      <c r="C257" s="157">
        <v>90</v>
      </c>
      <c r="D257" s="157" t="s">
        <v>180</v>
      </c>
      <c r="E257" s="158" t="s">
        <v>216</v>
      </c>
      <c r="F257" s="305" t="s">
        <v>353</v>
      </c>
      <c r="G257" s="290"/>
      <c r="H257" s="290"/>
      <c r="I257" s="290"/>
      <c r="J257" s="226" t="s">
        <v>285</v>
      </c>
      <c r="K257" s="166">
        <v>8</v>
      </c>
      <c r="L257" s="289"/>
      <c r="M257" s="290"/>
      <c r="N257" s="289">
        <f t="shared" si="25"/>
        <v>0</v>
      </c>
      <c r="O257" s="291"/>
      <c r="P257" s="291"/>
      <c r="Q257" s="291"/>
      <c r="R257" s="225"/>
      <c r="T257" s="108"/>
      <c r="U257" s="26" t="s">
        <v>37</v>
      </c>
      <c r="V257" s="109">
        <v>0</v>
      </c>
      <c r="W257" s="109">
        <f>$V$250*$K$250</f>
        <v>0</v>
      </c>
      <c r="X257" s="109">
        <v>0.6</v>
      </c>
      <c r="Y257" s="109">
        <f>$X$250*$K$250</f>
        <v>6.3659999999999997</v>
      </c>
      <c r="Z257" s="109">
        <v>0</v>
      </c>
      <c r="AA257" s="110">
        <f>$Z$250*$K$250</f>
        <v>0</v>
      </c>
      <c r="AC257" s="138"/>
      <c r="AD257" s="138"/>
      <c r="AE257" s="138"/>
      <c r="AF257" s="138"/>
      <c r="AG257" s="138"/>
      <c r="AH257" s="138"/>
      <c r="AI257" s="138"/>
      <c r="AJ257" s="138"/>
      <c r="AR257" s="161" t="s">
        <v>139</v>
      </c>
      <c r="AT257" s="161" t="s">
        <v>180</v>
      </c>
      <c r="AU257" s="161" t="s">
        <v>82</v>
      </c>
      <c r="AY257" s="161" t="s">
        <v>115</v>
      </c>
      <c r="BE257" s="111">
        <f>IF($U$250="základní",$N$250,0)</f>
        <v>0</v>
      </c>
      <c r="BF257" s="111">
        <f>IF($U$250="snížená",$N$250,0)</f>
        <v>0</v>
      </c>
      <c r="BG257" s="111">
        <f>IF($U$250="zákl. přenesená",$N$250,0)</f>
        <v>0</v>
      </c>
      <c r="BH257" s="111">
        <f>IF($U$250="sníž. přenesená",$N$250,0)</f>
        <v>0</v>
      </c>
      <c r="BI257" s="111">
        <f>IF($U$250="nulová",$N$250,0)</f>
        <v>0</v>
      </c>
      <c r="BJ257" s="161" t="s">
        <v>18</v>
      </c>
      <c r="BK257" s="112">
        <f>ROUND($L$250*$K$250,3)</f>
        <v>0</v>
      </c>
      <c r="BL257" s="161" t="s">
        <v>120</v>
      </c>
    </row>
    <row r="258" spans="2:64" s="161" customFormat="1" ht="27" customHeight="1" x14ac:dyDescent="0.3">
      <c r="B258" s="19"/>
      <c r="C258" s="221">
        <v>91</v>
      </c>
      <c r="D258" s="221" t="s">
        <v>116</v>
      </c>
      <c r="E258" s="222" t="s">
        <v>354</v>
      </c>
      <c r="F258" s="292" t="s">
        <v>355</v>
      </c>
      <c r="G258" s="291"/>
      <c r="H258" s="291"/>
      <c r="I258" s="291"/>
      <c r="J258" s="223" t="s">
        <v>285</v>
      </c>
      <c r="K258" s="224">
        <v>8</v>
      </c>
      <c r="L258" s="293"/>
      <c r="M258" s="291"/>
      <c r="N258" s="293">
        <f t="shared" si="25"/>
        <v>0</v>
      </c>
      <c r="O258" s="291"/>
      <c r="P258" s="291"/>
      <c r="Q258" s="291"/>
      <c r="R258" s="225"/>
      <c r="T258" s="108"/>
      <c r="U258" s="26" t="s">
        <v>37</v>
      </c>
      <c r="V258" s="109">
        <v>5.8000000000000003E-2</v>
      </c>
      <c r="W258" s="109">
        <f>$V$251*$K$251</f>
        <v>6.1538000000000004</v>
      </c>
      <c r="X258" s="109">
        <v>0</v>
      </c>
      <c r="Y258" s="109">
        <f>$X$251*$K$251</f>
        <v>0</v>
      </c>
      <c r="Z258" s="109">
        <v>0</v>
      </c>
      <c r="AA258" s="110">
        <f>$Z$251*$K$251</f>
        <v>0</v>
      </c>
      <c r="AC258" s="138"/>
      <c r="AD258" s="138"/>
      <c r="AE258" s="138"/>
      <c r="AF258" s="138"/>
      <c r="AG258" s="138"/>
      <c r="AH258" s="138"/>
      <c r="AI258" s="138"/>
      <c r="AJ258" s="138"/>
      <c r="AR258" s="161" t="s">
        <v>120</v>
      </c>
      <c r="AT258" s="161" t="s">
        <v>116</v>
      </c>
      <c r="AU258" s="161" t="s">
        <v>82</v>
      </c>
      <c r="AY258" s="161" t="s">
        <v>115</v>
      </c>
      <c r="BE258" s="111">
        <f>IF($U$251="základní",$N$251,0)</f>
        <v>0</v>
      </c>
      <c r="BF258" s="111">
        <f>IF($U$251="snížená",$N$251,0)</f>
        <v>0</v>
      </c>
      <c r="BG258" s="111">
        <f>IF($U$251="zákl. přenesená",$N$251,0)</f>
        <v>0</v>
      </c>
      <c r="BH258" s="111">
        <f>IF($U$251="sníž. přenesená",$N$251,0)</f>
        <v>0</v>
      </c>
      <c r="BI258" s="111">
        <f>IF($U$251="nulová",$N$251,0)</f>
        <v>0</v>
      </c>
      <c r="BJ258" s="161" t="s">
        <v>18</v>
      </c>
      <c r="BK258" s="112">
        <f>ROUND($L$251*$K$251,3)</f>
        <v>0</v>
      </c>
      <c r="BL258" s="161" t="s">
        <v>120</v>
      </c>
    </row>
    <row r="259" spans="2:64" s="161" customFormat="1" ht="27" customHeight="1" x14ac:dyDescent="0.3">
      <c r="B259" s="19"/>
      <c r="C259" s="221">
        <v>92</v>
      </c>
      <c r="D259" s="221" t="s">
        <v>116</v>
      </c>
      <c r="E259" s="222" t="s">
        <v>356</v>
      </c>
      <c r="F259" s="292" t="s">
        <v>357</v>
      </c>
      <c r="G259" s="291"/>
      <c r="H259" s="291"/>
      <c r="I259" s="291"/>
      <c r="J259" s="223" t="s">
        <v>285</v>
      </c>
      <c r="K259" s="224">
        <v>8</v>
      </c>
      <c r="L259" s="293"/>
      <c r="M259" s="291"/>
      <c r="N259" s="293">
        <f t="shared" si="25"/>
        <v>0</v>
      </c>
      <c r="O259" s="291"/>
      <c r="P259" s="291"/>
      <c r="Q259" s="291"/>
      <c r="R259" s="225"/>
      <c r="T259" s="108"/>
      <c r="U259" s="26" t="s">
        <v>37</v>
      </c>
      <c r="V259" s="109">
        <v>5.8000000000000003E-2</v>
      </c>
      <c r="W259" s="109">
        <f>$V$251*$K$251</f>
        <v>6.1538000000000004</v>
      </c>
      <c r="X259" s="109">
        <v>0</v>
      </c>
      <c r="Y259" s="109">
        <f>$X$251*$K$251</f>
        <v>0</v>
      </c>
      <c r="Z259" s="109">
        <v>0</v>
      </c>
      <c r="AA259" s="110">
        <f>$Z$251*$K$251</f>
        <v>0</v>
      </c>
      <c r="AC259" s="138"/>
      <c r="AD259" s="138"/>
      <c r="AE259" s="138"/>
      <c r="AF259" s="138"/>
      <c r="AG259" s="138"/>
      <c r="AH259" s="138"/>
      <c r="AI259" s="138"/>
      <c r="AJ259" s="138"/>
      <c r="AR259" s="161" t="s">
        <v>120</v>
      </c>
      <c r="AT259" s="161" t="s">
        <v>116</v>
      </c>
      <c r="AU259" s="161" t="s">
        <v>82</v>
      </c>
      <c r="AY259" s="161" t="s">
        <v>115</v>
      </c>
      <c r="BE259" s="111">
        <f>IF($U$251="základní",$N$251,0)</f>
        <v>0</v>
      </c>
      <c r="BF259" s="111">
        <f>IF($U$251="snížená",$N$251,0)</f>
        <v>0</v>
      </c>
      <c r="BG259" s="111">
        <f>IF($U$251="zákl. přenesená",$N$251,0)</f>
        <v>0</v>
      </c>
      <c r="BH259" s="111">
        <f>IF($U$251="sníž. přenesená",$N$251,0)</f>
        <v>0</v>
      </c>
      <c r="BI259" s="111">
        <f>IF($U$251="nulová",$N$251,0)</f>
        <v>0</v>
      </c>
      <c r="BJ259" s="161" t="s">
        <v>18</v>
      </c>
      <c r="BK259" s="112">
        <f>ROUND($L$251*$K$251,3)</f>
        <v>0</v>
      </c>
      <c r="BL259" s="161" t="s">
        <v>120</v>
      </c>
    </row>
    <row r="260" spans="2:64" s="161" customFormat="1" ht="27" customHeight="1" x14ac:dyDescent="0.3">
      <c r="B260" s="19"/>
      <c r="C260" s="221">
        <v>93</v>
      </c>
      <c r="D260" s="221" t="s">
        <v>116</v>
      </c>
      <c r="E260" s="222" t="s">
        <v>214</v>
      </c>
      <c r="F260" s="292" t="s">
        <v>361</v>
      </c>
      <c r="G260" s="291"/>
      <c r="H260" s="291"/>
      <c r="I260" s="291"/>
      <c r="J260" s="223" t="s">
        <v>119</v>
      </c>
      <c r="K260" s="224">
        <v>12</v>
      </c>
      <c r="L260" s="293"/>
      <c r="M260" s="291"/>
      <c r="N260" s="293">
        <f t="shared" si="25"/>
        <v>0</v>
      </c>
      <c r="O260" s="291"/>
      <c r="P260" s="291"/>
      <c r="Q260" s="291"/>
      <c r="R260" s="225"/>
      <c r="T260" s="108"/>
      <c r="U260" s="26" t="s">
        <v>37</v>
      </c>
      <c r="V260" s="109">
        <v>5.8000000000000003E-2</v>
      </c>
      <c r="W260" s="109">
        <f>$V$251*$K$251</f>
        <v>6.1538000000000004</v>
      </c>
      <c r="X260" s="109">
        <v>0</v>
      </c>
      <c r="Y260" s="109">
        <f>$X$251*$K$251</f>
        <v>0</v>
      </c>
      <c r="Z260" s="109">
        <v>0</v>
      </c>
      <c r="AA260" s="110">
        <f>$Z$251*$K$251</f>
        <v>0</v>
      </c>
      <c r="AC260" s="138"/>
      <c r="AD260" s="138"/>
      <c r="AE260" s="138"/>
      <c r="AF260" s="138"/>
      <c r="AG260" s="138"/>
      <c r="AH260" s="138"/>
      <c r="AI260" s="138"/>
      <c r="AJ260" s="138"/>
      <c r="AR260" s="161" t="s">
        <v>120</v>
      </c>
      <c r="AT260" s="161" t="s">
        <v>116</v>
      </c>
      <c r="AU260" s="161" t="s">
        <v>82</v>
      </c>
      <c r="AY260" s="161" t="s">
        <v>115</v>
      </c>
      <c r="BE260" s="111">
        <f>IF($U$251="základní",$N$251,0)</f>
        <v>0</v>
      </c>
      <c r="BF260" s="111">
        <f>IF($U$251="snížená",$N$251,0)</f>
        <v>0</v>
      </c>
      <c r="BG260" s="111">
        <f>IF($U$251="zákl. přenesená",$N$251,0)</f>
        <v>0</v>
      </c>
      <c r="BH260" s="111">
        <f>IF($U$251="sníž. přenesená",$N$251,0)</f>
        <v>0</v>
      </c>
      <c r="BI260" s="111">
        <f>IF($U$251="nulová",$N$251,0)</f>
        <v>0</v>
      </c>
      <c r="BJ260" s="161" t="s">
        <v>18</v>
      </c>
      <c r="BK260" s="112">
        <f>ROUND($L$251*$K$251,3)</f>
        <v>0</v>
      </c>
      <c r="BL260" s="161" t="s">
        <v>120</v>
      </c>
    </row>
    <row r="261" spans="2:64" s="161" customFormat="1" ht="15.75" customHeight="1" x14ac:dyDescent="0.3">
      <c r="B261" s="19"/>
      <c r="C261" s="157">
        <v>94</v>
      </c>
      <c r="D261" s="157" t="s">
        <v>180</v>
      </c>
      <c r="E261" s="158" t="s">
        <v>216</v>
      </c>
      <c r="F261" s="305" t="s">
        <v>358</v>
      </c>
      <c r="G261" s="290"/>
      <c r="H261" s="290"/>
      <c r="I261" s="290"/>
      <c r="J261" s="159" t="s">
        <v>119</v>
      </c>
      <c r="K261" s="166">
        <v>12</v>
      </c>
      <c r="L261" s="289"/>
      <c r="M261" s="290"/>
      <c r="N261" s="289">
        <f t="shared" si="25"/>
        <v>0</v>
      </c>
      <c r="O261" s="291"/>
      <c r="P261" s="291"/>
      <c r="Q261" s="291"/>
      <c r="R261" s="225"/>
      <c r="T261" s="108"/>
      <c r="U261" s="26" t="s">
        <v>37</v>
      </c>
      <c r="V261" s="109">
        <v>0</v>
      </c>
      <c r="W261" s="109">
        <f>$V$252*$K$252</f>
        <v>0</v>
      </c>
      <c r="X261" s="109">
        <v>1E-3</v>
      </c>
      <c r="Y261" s="109">
        <f>$X$252*$K$252</f>
        <v>2.6525E-2</v>
      </c>
      <c r="Z261" s="109">
        <v>0</v>
      </c>
      <c r="AA261" s="110">
        <f>$Z$252*$K$252</f>
        <v>0</v>
      </c>
      <c r="AC261" s="138"/>
      <c r="AD261" s="138"/>
      <c r="AE261" s="138"/>
      <c r="AF261" s="138"/>
      <c r="AG261" s="138"/>
      <c r="AH261" s="138"/>
      <c r="AI261" s="138"/>
      <c r="AJ261" s="138"/>
      <c r="AR261" s="161" t="s">
        <v>139</v>
      </c>
      <c r="AT261" s="161" t="s">
        <v>180</v>
      </c>
      <c r="AU261" s="161" t="s">
        <v>82</v>
      </c>
      <c r="AY261" s="161" t="s">
        <v>115</v>
      </c>
      <c r="BE261" s="111">
        <f>IF($U$252="základní",$N$252,0)</f>
        <v>0</v>
      </c>
      <c r="BF261" s="111">
        <f>IF($U$252="snížená",$N$252,0)</f>
        <v>0</v>
      </c>
      <c r="BG261" s="111">
        <f>IF($U$252="zákl. přenesená",$N$252,0)</f>
        <v>0</v>
      </c>
      <c r="BH261" s="111">
        <f>IF($U$252="sníž. přenesená",$N$252,0)</f>
        <v>0</v>
      </c>
      <c r="BI261" s="111">
        <f>IF($U$252="nulová",$N$252,0)</f>
        <v>0</v>
      </c>
      <c r="BJ261" s="161" t="s">
        <v>18</v>
      </c>
      <c r="BK261" s="112">
        <f>ROUND($L$252*$K$252,3)</f>
        <v>0</v>
      </c>
      <c r="BL261" s="161" t="s">
        <v>120</v>
      </c>
    </row>
    <row r="262" spans="2:64" s="161" customFormat="1" ht="15.75" customHeight="1" x14ac:dyDescent="0.3">
      <c r="B262" s="19"/>
      <c r="C262" s="221">
        <v>95</v>
      </c>
      <c r="D262" s="221" t="s">
        <v>116</v>
      </c>
      <c r="E262" s="181" t="s">
        <v>230</v>
      </c>
      <c r="F262" s="292" t="s">
        <v>359</v>
      </c>
      <c r="G262" s="291"/>
      <c r="H262" s="291"/>
      <c r="I262" s="291"/>
      <c r="J262" s="227" t="s">
        <v>159</v>
      </c>
      <c r="K262" s="224">
        <v>8</v>
      </c>
      <c r="L262" s="293"/>
      <c r="M262" s="291"/>
      <c r="N262" s="293">
        <f t="shared" ref="N262:N263" si="26">K262*L262</f>
        <v>0</v>
      </c>
      <c r="O262" s="291"/>
      <c r="P262" s="291"/>
      <c r="Q262" s="291"/>
      <c r="R262" s="225"/>
      <c r="T262" s="108"/>
      <c r="U262" s="26" t="s">
        <v>37</v>
      </c>
      <c r="V262" s="109">
        <v>7.27</v>
      </c>
      <c r="W262" s="109">
        <f>$V$300*$K$300</f>
        <v>50.89</v>
      </c>
      <c r="X262" s="109">
        <v>0.24993000000000001</v>
      </c>
      <c r="Y262" s="109">
        <f>$X$300*$K$300</f>
        <v>1.7495100000000001</v>
      </c>
      <c r="Z262" s="109">
        <v>0</v>
      </c>
      <c r="AA262" s="110">
        <f>$Z$300*$K$300</f>
        <v>0</v>
      </c>
      <c r="AC262" s="138"/>
      <c r="AD262" s="138"/>
      <c r="AE262" s="138"/>
      <c r="AF262" s="138"/>
      <c r="AG262" s="138"/>
      <c r="AH262" s="138"/>
      <c r="AI262" s="138"/>
      <c r="AJ262" s="138"/>
      <c r="AR262" s="161" t="s">
        <v>120</v>
      </c>
      <c r="AT262" s="161" t="s">
        <v>116</v>
      </c>
      <c r="AU262" s="161" t="s">
        <v>82</v>
      </c>
      <c r="AY262" s="161" t="s">
        <v>115</v>
      </c>
      <c r="BE262" s="111">
        <f>IF($U$300="základní",$N$300,0)</f>
        <v>0</v>
      </c>
      <c r="BF262" s="111">
        <f>IF($U$300="snížená",$N$300,0)</f>
        <v>0</v>
      </c>
      <c r="BG262" s="111">
        <f>IF($U$300="zákl. přenesená",$N$300,0)</f>
        <v>0</v>
      </c>
      <c r="BH262" s="111">
        <f>IF($U$300="sníž. přenesená",$N$300,0)</f>
        <v>0</v>
      </c>
      <c r="BI262" s="111">
        <f>IF($U$300="nulová",$N$300,0)</f>
        <v>0</v>
      </c>
      <c r="BJ262" s="161" t="s">
        <v>18</v>
      </c>
      <c r="BK262" s="112">
        <f>ROUND($L$300*$K$300,3)</f>
        <v>0</v>
      </c>
      <c r="BL262" s="161" t="s">
        <v>120</v>
      </c>
    </row>
    <row r="263" spans="2:64" s="161" customFormat="1" ht="27" customHeight="1" x14ac:dyDescent="0.3">
      <c r="B263" s="19"/>
      <c r="C263" s="157">
        <v>96</v>
      </c>
      <c r="D263" s="157" t="s">
        <v>180</v>
      </c>
      <c r="E263" s="158"/>
      <c r="F263" s="305" t="s">
        <v>360</v>
      </c>
      <c r="G263" s="290"/>
      <c r="H263" s="290"/>
      <c r="I263" s="290"/>
      <c r="J263" s="159" t="s">
        <v>159</v>
      </c>
      <c r="K263" s="166">
        <v>8</v>
      </c>
      <c r="L263" s="289"/>
      <c r="M263" s="290"/>
      <c r="N263" s="289">
        <f t="shared" si="26"/>
        <v>0</v>
      </c>
      <c r="O263" s="291"/>
      <c r="P263" s="291"/>
      <c r="Q263" s="291"/>
      <c r="R263" s="225"/>
      <c r="T263" s="108"/>
      <c r="U263" s="26" t="s">
        <v>37</v>
      </c>
      <c r="V263" s="109">
        <v>0</v>
      </c>
      <c r="W263" s="109">
        <f>$V$301*$K$301</f>
        <v>0</v>
      </c>
      <c r="X263" s="109">
        <v>6.0000000000000001E-3</v>
      </c>
      <c r="Y263" s="109">
        <f>$X$301*$K$301</f>
        <v>4.2000000000000003E-2</v>
      </c>
      <c r="Z263" s="109">
        <v>0</v>
      </c>
      <c r="AA263" s="110">
        <f>$Z$301*$K$301</f>
        <v>0</v>
      </c>
      <c r="AC263" s="138"/>
      <c r="AD263" s="138"/>
      <c r="AE263" s="138"/>
      <c r="AF263" s="138"/>
      <c r="AG263" s="138"/>
      <c r="AH263" s="138"/>
      <c r="AI263" s="138"/>
      <c r="AJ263" s="138"/>
      <c r="AR263" s="161" t="s">
        <v>139</v>
      </c>
      <c r="AT263" s="161" t="s">
        <v>180</v>
      </c>
      <c r="AU263" s="161" t="s">
        <v>82</v>
      </c>
      <c r="AY263" s="161" t="s">
        <v>115</v>
      </c>
      <c r="BE263" s="111">
        <f>IF($U$301="základní",$N$301,0)</f>
        <v>0</v>
      </c>
      <c r="BF263" s="111">
        <f>IF($U$301="snížená",$N$301,0)</f>
        <v>0</v>
      </c>
      <c r="BG263" s="111">
        <f>IF($U$301="zákl. přenesená",$N$301,0)</f>
        <v>0</v>
      </c>
      <c r="BH263" s="111">
        <f>IF($U$301="sníž. přenesená",$N$301,0)</f>
        <v>0</v>
      </c>
      <c r="BI263" s="111">
        <f>IF($U$301="nulová",$N$301,0)</f>
        <v>0</v>
      </c>
      <c r="BJ263" s="161" t="s">
        <v>18</v>
      </c>
      <c r="BK263" s="112">
        <f>ROUND($L$301*$K$301,3)</f>
        <v>0</v>
      </c>
      <c r="BL263" s="161" t="s">
        <v>120</v>
      </c>
    </row>
    <row r="264" spans="2:64" s="161" customFormat="1" ht="27" customHeight="1" x14ac:dyDescent="0.3">
      <c r="B264" s="19"/>
      <c r="C264" s="221">
        <v>97</v>
      </c>
      <c r="D264" s="221" t="s">
        <v>116</v>
      </c>
      <c r="E264" s="222" t="s">
        <v>362</v>
      </c>
      <c r="F264" s="292" t="s">
        <v>363</v>
      </c>
      <c r="G264" s="291"/>
      <c r="H264" s="291"/>
      <c r="I264" s="291"/>
      <c r="J264" s="223" t="s">
        <v>119</v>
      </c>
      <c r="K264" s="224">
        <v>0.36</v>
      </c>
      <c r="L264" s="293"/>
      <c r="M264" s="291"/>
      <c r="N264" s="293">
        <f>K264*L264</f>
        <v>0</v>
      </c>
      <c r="O264" s="291"/>
      <c r="P264" s="291"/>
      <c r="Q264" s="291"/>
      <c r="R264" s="225"/>
      <c r="T264" s="108"/>
      <c r="U264" s="26" t="s">
        <v>37</v>
      </c>
      <c r="V264" s="109">
        <v>5.8000000000000003E-2</v>
      </c>
      <c r="W264" s="109">
        <f>$V$251*$K$251</f>
        <v>6.1538000000000004</v>
      </c>
      <c r="X264" s="109">
        <v>0</v>
      </c>
      <c r="Y264" s="109">
        <f>$X$251*$K$251</f>
        <v>0</v>
      </c>
      <c r="Z264" s="109">
        <v>0</v>
      </c>
      <c r="AA264" s="110">
        <f>$Z$251*$K$251</f>
        <v>0</v>
      </c>
      <c r="AC264" s="138"/>
      <c r="AD264" s="138"/>
      <c r="AE264" s="138"/>
      <c r="AF264" s="138"/>
      <c r="AG264" s="138"/>
      <c r="AH264" s="138"/>
      <c r="AI264" s="138"/>
      <c r="AJ264" s="138"/>
      <c r="AR264" s="161" t="s">
        <v>120</v>
      </c>
      <c r="AT264" s="161" t="s">
        <v>116</v>
      </c>
      <c r="AU264" s="161" t="s">
        <v>82</v>
      </c>
      <c r="AY264" s="161" t="s">
        <v>115</v>
      </c>
      <c r="BE264" s="111">
        <f>IF($U$251="základní",$N$251,0)</f>
        <v>0</v>
      </c>
      <c r="BF264" s="111">
        <f>IF($U$251="snížená",$N$251,0)</f>
        <v>0</v>
      </c>
      <c r="BG264" s="111">
        <f>IF($U$251="zákl. přenesená",$N$251,0)</f>
        <v>0</v>
      </c>
      <c r="BH264" s="111">
        <f>IF($U$251="sníž. přenesená",$N$251,0)</f>
        <v>0</v>
      </c>
      <c r="BI264" s="111">
        <f>IF($U$251="nulová",$N$251,0)</f>
        <v>0</v>
      </c>
      <c r="BJ264" s="161" t="s">
        <v>18</v>
      </c>
      <c r="BK264" s="112">
        <f>ROUND($L$251*$K$251,3)</f>
        <v>0</v>
      </c>
      <c r="BL264" s="161" t="s">
        <v>120</v>
      </c>
    </row>
    <row r="265" spans="2:64" s="161" customFormat="1" ht="27" customHeight="1" x14ac:dyDescent="0.3">
      <c r="B265" s="19"/>
      <c r="C265" s="221">
        <v>98</v>
      </c>
      <c r="D265" s="221" t="s">
        <v>116</v>
      </c>
      <c r="E265" s="222" t="s">
        <v>364</v>
      </c>
      <c r="F265" s="292" t="s">
        <v>365</v>
      </c>
      <c r="G265" s="291"/>
      <c r="H265" s="291"/>
      <c r="I265" s="291"/>
      <c r="J265" s="223" t="s">
        <v>119</v>
      </c>
      <c r="K265" s="224">
        <v>0.36</v>
      </c>
      <c r="L265" s="293"/>
      <c r="M265" s="291"/>
      <c r="N265" s="293">
        <f>K265*L265</f>
        <v>0</v>
      </c>
      <c r="O265" s="291"/>
      <c r="P265" s="291"/>
      <c r="Q265" s="291"/>
      <c r="R265" s="225"/>
      <c r="T265" s="108"/>
      <c r="U265" s="26" t="s">
        <v>37</v>
      </c>
      <c r="V265" s="109">
        <v>5.8000000000000003E-2</v>
      </c>
      <c r="W265" s="109">
        <f>$V$251*$K$251</f>
        <v>6.1538000000000004</v>
      </c>
      <c r="X265" s="109">
        <v>0</v>
      </c>
      <c r="Y265" s="109">
        <f>$X$251*$K$251</f>
        <v>0</v>
      </c>
      <c r="Z265" s="109">
        <v>0</v>
      </c>
      <c r="AA265" s="110">
        <f>$Z$251*$K$251</f>
        <v>0</v>
      </c>
      <c r="AC265" s="138"/>
      <c r="AD265" s="138"/>
      <c r="AE265" s="138"/>
      <c r="AF265" s="138"/>
      <c r="AG265" s="138"/>
      <c r="AH265" s="138"/>
      <c r="AI265" s="138"/>
      <c r="AJ265" s="138"/>
      <c r="AR265" s="161" t="s">
        <v>120</v>
      </c>
      <c r="AT265" s="161" t="s">
        <v>116</v>
      </c>
      <c r="AU265" s="161" t="s">
        <v>82</v>
      </c>
      <c r="AY265" s="161" t="s">
        <v>115</v>
      </c>
      <c r="BE265" s="111">
        <f>IF($U$251="základní",$N$251,0)</f>
        <v>0</v>
      </c>
      <c r="BF265" s="111">
        <f>IF($U$251="snížená",$N$251,0)</f>
        <v>0</v>
      </c>
      <c r="BG265" s="111">
        <f>IF($U$251="zákl. přenesená",$N$251,0)</f>
        <v>0</v>
      </c>
      <c r="BH265" s="111">
        <f>IF($U$251="sníž. přenesená",$N$251,0)</f>
        <v>0</v>
      </c>
      <c r="BI265" s="111">
        <f>IF($U$251="nulová",$N$251,0)</f>
        <v>0</v>
      </c>
      <c r="BJ265" s="161" t="s">
        <v>18</v>
      </c>
      <c r="BK265" s="112">
        <f>ROUND($L$251*$K$251,3)</f>
        <v>0</v>
      </c>
      <c r="BL265" s="161" t="s">
        <v>120</v>
      </c>
    </row>
    <row r="266" spans="2:64" s="161" customFormat="1" ht="27" customHeight="1" x14ac:dyDescent="0.3">
      <c r="B266" s="19"/>
      <c r="C266" s="157">
        <v>99</v>
      </c>
      <c r="D266" s="157" t="s">
        <v>180</v>
      </c>
      <c r="E266" s="228" t="s">
        <v>366</v>
      </c>
      <c r="F266" s="305" t="s">
        <v>367</v>
      </c>
      <c r="G266" s="290"/>
      <c r="H266" s="290"/>
      <c r="I266" s="290"/>
      <c r="J266" s="226" t="s">
        <v>119</v>
      </c>
      <c r="K266" s="166">
        <v>0.36</v>
      </c>
      <c r="L266" s="289"/>
      <c r="M266" s="290"/>
      <c r="N266" s="289">
        <f t="shared" ref="N266" si="27">K266*L266</f>
        <v>0</v>
      </c>
      <c r="O266" s="291"/>
      <c r="P266" s="291"/>
      <c r="Q266" s="291"/>
      <c r="R266" s="225"/>
      <c r="T266" s="108"/>
      <c r="U266" s="26" t="s">
        <v>37</v>
      </c>
      <c r="V266" s="109">
        <v>0</v>
      </c>
      <c r="W266" s="109">
        <f>$V$301*$K$301</f>
        <v>0</v>
      </c>
      <c r="X266" s="109">
        <v>6.0000000000000001E-3</v>
      </c>
      <c r="Y266" s="109">
        <f>$X$301*$K$301</f>
        <v>4.2000000000000003E-2</v>
      </c>
      <c r="Z266" s="109">
        <v>0</v>
      </c>
      <c r="AA266" s="110">
        <f>$Z$301*$K$301</f>
        <v>0</v>
      </c>
      <c r="AC266" s="138"/>
      <c r="AD266" s="138"/>
      <c r="AE266" s="138"/>
      <c r="AF266" s="138"/>
      <c r="AG266" s="138"/>
      <c r="AH266" s="138"/>
      <c r="AI266" s="138"/>
      <c r="AJ266" s="138"/>
      <c r="AR266" s="161" t="s">
        <v>139</v>
      </c>
      <c r="AT266" s="161" t="s">
        <v>180</v>
      </c>
      <c r="AU266" s="161" t="s">
        <v>82</v>
      </c>
      <c r="AY266" s="161" t="s">
        <v>115</v>
      </c>
      <c r="BE266" s="111">
        <f>IF($U$301="základní",$N$301,0)</f>
        <v>0</v>
      </c>
      <c r="BF266" s="111">
        <f>IF($U$301="snížená",$N$301,0)</f>
        <v>0</v>
      </c>
      <c r="BG266" s="111">
        <f>IF($U$301="zákl. přenesená",$N$301,0)</f>
        <v>0</v>
      </c>
      <c r="BH266" s="111">
        <f>IF($U$301="sníž. přenesená",$N$301,0)</f>
        <v>0</v>
      </c>
      <c r="BI266" s="111">
        <f>IF($U$301="nulová",$N$301,0)</f>
        <v>0</v>
      </c>
      <c r="BJ266" s="161" t="s">
        <v>18</v>
      </c>
      <c r="BK266" s="112">
        <f>ROUND($L$301*$K$301,3)</f>
        <v>0</v>
      </c>
      <c r="BL266" s="161" t="s">
        <v>120</v>
      </c>
    </row>
    <row r="267" spans="2:64" s="161" customFormat="1" ht="27" customHeight="1" x14ac:dyDescent="0.3">
      <c r="B267" s="19"/>
      <c r="C267" s="221">
        <v>100</v>
      </c>
      <c r="D267" s="221" t="s">
        <v>116</v>
      </c>
      <c r="E267" s="222"/>
      <c r="F267" s="292" t="s">
        <v>368</v>
      </c>
      <c r="G267" s="291"/>
      <c r="H267" s="291"/>
      <c r="I267" s="291"/>
      <c r="J267" s="223" t="s">
        <v>284</v>
      </c>
      <c r="K267" s="224">
        <v>1</v>
      </c>
      <c r="L267" s="293"/>
      <c r="M267" s="291"/>
      <c r="N267" s="293">
        <f>K267*L267</f>
        <v>0</v>
      </c>
      <c r="O267" s="291"/>
      <c r="P267" s="291"/>
      <c r="Q267" s="291"/>
      <c r="R267" s="225"/>
      <c r="T267" s="108"/>
      <c r="U267" s="26" t="s">
        <v>37</v>
      </c>
      <c r="V267" s="109">
        <v>5.8000000000000003E-2</v>
      </c>
      <c r="W267" s="109">
        <f>$V$251*$K$251</f>
        <v>6.1538000000000004</v>
      </c>
      <c r="X267" s="109">
        <v>0</v>
      </c>
      <c r="Y267" s="109">
        <f>$X$251*$K$251</f>
        <v>0</v>
      </c>
      <c r="Z267" s="109">
        <v>0</v>
      </c>
      <c r="AA267" s="110">
        <f>$Z$251*$K$251</f>
        <v>0</v>
      </c>
      <c r="AC267" s="138"/>
      <c r="AD267" s="138"/>
      <c r="AE267" s="138"/>
      <c r="AF267" s="138"/>
      <c r="AG267" s="138"/>
      <c r="AH267" s="138"/>
      <c r="AI267" s="138"/>
      <c r="AJ267" s="138"/>
      <c r="AR267" s="161" t="s">
        <v>120</v>
      </c>
      <c r="AT267" s="161" t="s">
        <v>116</v>
      </c>
      <c r="AU267" s="161" t="s">
        <v>82</v>
      </c>
      <c r="AY267" s="161" t="s">
        <v>115</v>
      </c>
      <c r="BE267" s="111">
        <f>IF($U$251="základní",$N$251,0)</f>
        <v>0</v>
      </c>
      <c r="BF267" s="111">
        <f>IF($U$251="snížená",$N$251,0)</f>
        <v>0</v>
      </c>
      <c r="BG267" s="111">
        <f>IF($U$251="zákl. přenesená",$N$251,0)</f>
        <v>0</v>
      </c>
      <c r="BH267" s="111">
        <f>IF($U$251="sníž. přenesená",$N$251,0)</f>
        <v>0</v>
      </c>
      <c r="BI267" s="111">
        <f>IF($U$251="nulová",$N$251,0)</f>
        <v>0</v>
      </c>
      <c r="BJ267" s="161" t="s">
        <v>18</v>
      </c>
      <c r="BK267" s="112">
        <f>ROUND($L$251*$K$251,3)</f>
        <v>0</v>
      </c>
      <c r="BL267" s="161" t="s">
        <v>120</v>
      </c>
    </row>
    <row r="268" spans="2:64" s="161" customFormat="1" ht="39" customHeight="1" x14ac:dyDescent="0.3">
      <c r="B268" s="19"/>
      <c r="C268" s="221">
        <v>101</v>
      </c>
      <c r="D268" s="221" t="s">
        <v>116</v>
      </c>
      <c r="E268" s="181" t="s">
        <v>195</v>
      </c>
      <c r="F268" s="302" t="s">
        <v>196</v>
      </c>
      <c r="G268" s="291"/>
      <c r="H268" s="291"/>
      <c r="I268" s="291"/>
      <c r="J268" s="227" t="s">
        <v>162</v>
      </c>
      <c r="K268" s="224">
        <v>47.658000000000001</v>
      </c>
      <c r="L268" s="293"/>
      <c r="M268" s="291"/>
      <c r="N268" s="293">
        <f>K268*L268</f>
        <v>0</v>
      </c>
      <c r="O268" s="291"/>
      <c r="P268" s="291"/>
      <c r="Q268" s="291"/>
      <c r="R268" s="225"/>
      <c r="T268" s="108"/>
      <c r="U268" s="26" t="s">
        <v>37</v>
      </c>
      <c r="V268" s="109">
        <v>6.6000000000000003E-2</v>
      </c>
      <c r="W268" s="109">
        <f>$V$254*$K$254</f>
        <v>0.7258475003999999</v>
      </c>
      <c r="X268" s="109">
        <v>0</v>
      </c>
      <c r="Y268" s="109">
        <f>$X$254*$K$254</f>
        <v>0</v>
      </c>
      <c r="Z268" s="109">
        <v>0</v>
      </c>
      <c r="AA268" s="110">
        <f>$Z$254*$K$254</f>
        <v>0</v>
      </c>
      <c r="AC268" s="138"/>
      <c r="AD268" s="138"/>
      <c r="AE268" s="138"/>
      <c r="AF268" s="138"/>
      <c r="AG268" s="138"/>
      <c r="AH268" s="138"/>
      <c r="AI268" s="138"/>
      <c r="AJ268" s="138"/>
      <c r="AR268" s="161" t="s">
        <v>120</v>
      </c>
      <c r="AT268" s="161" t="s">
        <v>116</v>
      </c>
      <c r="AU268" s="161" t="s">
        <v>82</v>
      </c>
      <c r="AY268" s="161" t="s">
        <v>115</v>
      </c>
      <c r="BE268" s="111">
        <f>IF($U$254="základní",$N$254,0)</f>
        <v>0</v>
      </c>
      <c r="BF268" s="111">
        <f>IF($U$254="snížená",$N$254,0)</f>
        <v>0</v>
      </c>
      <c r="BG268" s="111">
        <f>IF($U$254="zákl. přenesená",$N$254,0)</f>
        <v>0</v>
      </c>
      <c r="BH268" s="111">
        <f>IF($U$254="sníž. přenesená",$N$254,0)</f>
        <v>0</v>
      </c>
      <c r="BI268" s="111">
        <f>IF($U$254="nulová",$N$254,0)</f>
        <v>0</v>
      </c>
      <c r="BJ268" s="161" t="s">
        <v>18</v>
      </c>
      <c r="BK268" s="112">
        <f>ROUND($L$254*$K$254,3)</f>
        <v>0</v>
      </c>
      <c r="BL268" s="161" t="s">
        <v>120</v>
      </c>
    </row>
    <row r="269" spans="2:64" s="94" customFormat="1" ht="30.75" customHeight="1" x14ac:dyDescent="0.3">
      <c r="B269" s="95"/>
      <c r="D269" s="103" t="s">
        <v>95</v>
      </c>
      <c r="N269" s="300">
        <f>SUM(N270:Q273)</f>
        <v>0</v>
      </c>
      <c r="O269" s="301"/>
      <c r="P269" s="301"/>
      <c r="Q269" s="301"/>
      <c r="R269" s="98"/>
      <c r="T269" s="99"/>
      <c r="W269" s="100">
        <f>SUM($W$270:$W$273)</f>
        <v>90.851442999999989</v>
      </c>
      <c r="Y269" s="100">
        <f>SUM($Y$270:$Y$273)</f>
        <v>12.60716</v>
      </c>
      <c r="AA269" s="101">
        <f>SUM($AA$270:$AA$273)</f>
        <v>0</v>
      </c>
      <c r="AC269" s="140"/>
      <c r="AD269" s="140"/>
      <c r="AE269" s="140"/>
      <c r="AF269" s="140"/>
      <c r="AG269" s="140"/>
      <c r="AH269" s="140"/>
      <c r="AI269" s="140"/>
      <c r="AJ269" s="140"/>
      <c r="AR269" s="97" t="s">
        <v>18</v>
      </c>
      <c r="AT269" s="97" t="s">
        <v>71</v>
      </c>
      <c r="AU269" s="97" t="s">
        <v>18</v>
      </c>
      <c r="AY269" s="97" t="s">
        <v>115</v>
      </c>
      <c r="BK269" s="102">
        <f>SUM($BK$270:$BK$273)</f>
        <v>0</v>
      </c>
    </row>
    <row r="270" spans="2:64" s="6" customFormat="1" ht="27" customHeight="1" x14ac:dyDescent="0.3">
      <c r="B270" s="19"/>
      <c r="C270" s="104">
        <v>102</v>
      </c>
      <c r="D270" s="104" t="s">
        <v>116</v>
      </c>
      <c r="E270" s="105" t="s">
        <v>223</v>
      </c>
      <c r="F270" s="286" t="s">
        <v>224</v>
      </c>
      <c r="G270" s="285"/>
      <c r="H270" s="285"/>
      <c r="I270" s="285"/>
      <c r="J270" s="106" t="s">
        <v>159</v>
      </c>
      <c r="K270" s="107">
        <v>10</v>
      </c>
      <c r="L270" s="287"/>
      <c r="M270" s="285"/>
      <c r="N270" s="287">
        <f>K270*L270</f>
        <v>0</v>
      </c>
      <c r="O270" s="285"/>
      <c r="P270" s="285"/>
      <c r="Q270" s="285"/>
      <c r="R270" s="20"/>
      <c r="T270" s="108"/>
      <c r="U270" s="26" t="s">
        <v>37</v>
      </c>
      <c r="V270" s="109">
        <v>3.8170000000000002</v>
      </c>
      <c r="W270" s="109">
        <f>$V$270*$K$270</f>
        <v>38.17</v>
      </c>
      <c r="X270" s="109">
        <v>0.42080000000000001</v>
      </c>
      <c r="Y270" s="109">
        <f>$X$270*$K$270</f>
        <v>4.2080000000000002</v>
      </c>
      <c r="Z270" s="109">
        <v>0</v>
      </c>
      <c r="AA270" s="110">
        <f>$Z$270*$K$270</f>
        <v>0</v>
      </c>
      <c r="AC270" s="138"/>
      <c r="AD270" s="138"/>
      <c r="AE270" s="138"/>
      <c r="AF270" s="138"/>
      <c r="AG270" s="138"/>
      <c r="AH270" s="138"/>
      <c r="AI270" s="138"/>
      <c r="AJ270" s="138"/>
      <c r="AR270" s="6" t="s">
        <v>120</v>
      </c>
      <c r="AT270" s="6" t="s">
        <v>116</v>
      </c>
      <c r="AU270" s="6" t="s">
        <v>82</v>
      </c>
      <c r="AY270" s="6" t="s">
        <v>115</v>
      </c>
      <c r="BE270" s="111">
        <f>IF($U$270="základní",$N$270,0)</f>
        <v>0</v>
      </c>
      <c r="BF270" s="111">
        <f>IF($U$270="snížená",$N$270,0)</f>
        <v>0</v>
      </c>
      <c r="BG270" s="111">
        <f>IF($U$270="zákl. přenesená",$N$270,0)</f>
        <v>0</v>
      </c>
      <c r="BH270" s="111">
        <f>IF($U$270="sníž. přenesená",$N$270,0)</f>
        <v>0</v>
      </c>
      <c r="BI270" s="111">
        <f>IF($U$270="nulová",$N$270,0)</f>
        <v>0</v>
      </c>
      <c r="BJ270" s="6" t="s">
        <v>18</v>
      </c>
      <c r="BK270" s="112">
        <f>ROUND($L$270*$K$270,3)</f>
        <v>0</v>
      </c>
      <c r="BL270" s="6" t="s">
        <v>120</v>
      </c>
    </row>
    <row r="271" spans="2:64" s="6" customFormat="1" ht="39" customHeight="1" x14ac:dyDescent="0.3">
      <c r="B271" s="19"/>
      <c r="C271" s="104">
        <v>103</v>
      </c>
      <c r="D271" s="104" t="s">
        <v>116</v>
      </c>
      <c r="E271" s="105" t="s">
        <v>225</v>
      </c>
      <c r="F271" s="286" t="s">
        <v>226</v>
      </c>
      <c r="G271" s="285"/>
      <c r="H271" s="285"/>
      <c r="I271" s="285"/>
      <c r="J271" s="106" t="s">
        <v>159</v>
      </c>
      <c r="K271" s="107">
        <v>27</v>
      </c>
      <c r="L271" s="287"/>
      <c r="M271" s="285"/>
      <c r="N271" s="287">
        <f>K271*L271</f>
        <v>0</v>
      </c>
      <c r="O271" s="285"/>
      <c r="P271" s="285"/>
      <c r="Q271" s="285"/>
      <c r="R271" s="20"/>
      <c r="T271" s="108"/>
      <c r="U271" s="26" t="s">
        <v>37</v>
      </c>
      <c r="V271" s="109">
        <v>1.5509999999999999</v>
      </c>
      <c r="W271" s="109">
        <f>$V$271*$K$271</f>
        <v>41.876999999999995</v>
      </c>
      <c r="X271" s="109">
        <v>0.31108000000000002</v>
      </c>
      <c r="Y271" s="109">
        <f>$X$271*$K$271</f>
        <v>8.3991600000000002</v>
      </c>
      <c r="Z271" s="109">
        <v>0</v>
      </c>
      <c r="AA271" s="110">
        <f>$Z$271*$K$271</f>
        <v>0</v>
      </c>
      <c r="AC271" s="138"/>
      <c r="AD271" s="138"/>
      <c r="AE271" s="138"/>
      <c r="AF271" s="138"/>
      <c r="AG271" s="138"/>
      <c r="AH271" s="138"/>
      <c r="AI271" s="138"/>
      <c r="AJ271" s="138"/>
      <c r="AR271" s="6" t="s">
        <v>120</v>
      </c>
      <c r="AT271" s="6" t="s">
        <v>116</v>
      </c>
      <c r="AU271" s="6" t="s">
        <v>82</v>
      </c>
      <c r="AY271" s="6" t="s">
        <v>115</v>
      </c>
      <c r="BE271" s="111">
        <f>IF($U$271="základní",$N$271,0)</f>
        <v>0</v>
      </c>
      <c r="BF271" s="111">
        <f>IF($U$271="snížená",$N$271,0)</f>
        <v>0</v>
      </c>
      <c r="BG271" s="111">
        <f>IF($U$271="zákl. přenesená",$N$271,0)</f>
        <v>0</v>
      </c>
      <c r="BH271" s="111">
        <f>IF($U$271="sníž. přenesená",$N$271,0)</f>
        <v>0</v>
      </c>
      <c r="BI271" s="111">
        <f>IF($U$271="nulová",$N$271,0)</f>
        <v>0</v>
      </c>
      <c r="BJ271" s="6" t="s">
        <v>18</v>
      </c>
      <c r="BK271" s="112">
        <f>ROUND($L$271*$K$271,3)</f>
        <v>0</v>
      </c>
      <c r="BL271" s="6" t="s">
        <v>120</v>
      </c>
    </row>
    <row r="272" spans="2:64" s="6" customFormat="1" ht="15.75" customHeight="1" x14ac:dyDescent="0.3">
      <c r="B272" s="113"/>
      <c r="E272" s="114"/>
      <c r="F272" s="325" t="s">
        <v>340</v>
      </c>
      <c r="G272" s="309"/>
      <c r="H272" s="309"/>
      <c r="I272" s="309"/>
      <c r="K272" s="115">
        <v>27</v>
      </c>
      <c r="R272" s="116"/>
      <c r="T272" s="117"/>
      <c r="AA272" s="118"/>
      <c r="AC272" s="138"/>
      <c r="AD272" s="138"/>
      <c r="AE272" s="138"/>
      <c r="AF272" s="138"/>
      <c r="AG272" s="138"/>
      <c r="AH272" s="138"/>
      <c r="AI272" s="138"/>
      <c r="AJ272" s="138"/>
      <c r="AT272" s="114" t="s">
        <v>128</v>
      </c>
      <c r="AU272" s="114" t="s">
        <v>82</v>
      </c>
      <c r="AV272" s="114" t="s">
        <v>82</v>
      </c>
      <c r="AW272" s="114" t="s">
        <v>88</v>
      </c>
      <c r="AX272" s="114" t="s">
        <v>18</v>
      </c>
      <c r="AY272" s="114" t="s">
        <v>115</v>
      </c>
    </row>
    <row r="273" spans="2:65" s="6" customFormat="1" ht="27" customHeight="1" x14ac:dyDescent="0.3">
      <c r="B273" s="19"/>
      <c r="C273" s="104">
        <v>104</v>
      </c>
      <c r="D273" s="104" t="s">
        <v>116</v>
      </c>
      <c r="E273" s="105" t="s">
        <v>227</v>
      </c>
      <c r="F273" s="286" t="s">
        <v>228</v>
      </c>
      <c r="G273" s="285"/>
      <c r="H273" s="285"/>
      <c r="I273" s="285"/>
      <c r="J273" s="106" t="s">
        <v>162</v>
      </c>
      <c r="K273" s="107">
        <v>15.457000000000001</v>
      </c>
      <c r="L273" s="287"/>
      <c r="M273" s="285"/>
      <c r="N273" s="287">
        <f>K273*L273</f>
        <v>0</v>
      </c>
      <c r="O273" s="285"/>
      <c r="P273" s="285"/>
      <c r="Q273" s="285"/>
      <c r="R273" s="20"/>
      <c r="T273" s="108"/>
      <c r="U273" s="26" t="s">
        <v>37</v>
      </c>
      <c r="V273" s="109">
        <v>0.69899999999999995</v>
      </c>
      <c r="W273" s="109">
        <f>$V$273*$K$273</f>
        <v>10.804442999999999</v>
      </c>
      <c r="X273" s="109">
        <v>0</v>
      </c>
      <c r="Y273" s="109">
        <f>$X$273*$K$273</f>
        <v>0</v>
      </c>
      <c r="Z273" s="109">
        <v>0</v>
      </c>
      <c r="AA273" s="110">
        <f>$Z$273*$K$273</f>
        <v>0</v>
      </c>
      <c r="AC273" s="138"/>
      <c r="AD273" s="138"/>
      <c r="AE273" s="138"/>
      <c r="AF273" s="138"/>
      <c r="AG273" s="138"/>
      <c r="AH273" s="138"/>
      <c r="AI273" s="138"/>
      <c r="AJ273" s="138"/>
      <c r="AR273" s="6" t="s">
        <v>120</v>
      </c>
      <c r="AT273" s="6" t="s">
        <v>116</v>
      </c>
      <c r="AU273" s="6" t="s">
        <v>82</v>
      </c>
      <c r="AY273" s="6" t="s">
        <v>115</v>
      </c>
      <c r="BE273" s="111">
        <f>IF($U$273="základní",$N$273,0)</f>
        <v>0</v>
      </c>
      <c r="BF273" s="111">
        <f>IF($U$273="snížená",$N$273,0)</f>
        <v>0</v>
      </c>
      <c r="BG273" s="111">
        <f>IF($U$273="zákl. přenesená",$N$273,0)</f>
        <v>0</v>
      </c>
      <c r="BH273" s="111">
        <f>IF($U$273="sníž. přenesená",$N$273,0)</f>
        <v>0</v>
      </c>
      <c r="BI273" s="111">
        <f>IF($U$273="nulová",$N$273,0)</f>
        <v>0</v>
      </c>
      <c r="BJ273" s="6" t="s">
        <v>18</v>
      </c>
      <c r="BK273" s="112">
        <f>ROUND($L$273*$K$273,3)</f>
        <v>0</v>
      </c>
      <c r="BL273" s="6" t="s">
        <v>120</v>
      </c>
    </row>
    <row r="274" spans="2:65" s="94" customFormat="1" ht="30.75" customHeight="1" x14ac:dyDescent="0.3">
      <c r="B274" s="95"/>
      <c r="D274" s="103" t="s">
        <v>96</v>
      </c>
      <c r="N274" s="300">
        <f>SUM(N275:Q306)</f>
        <v>0</v>
      </c>
      <c r="O274" s="301"/>
      <c r="P274" s="301"/>
      <c r="Q274" s="301"/>
      <c r="R274" s="98"/>
      <c r="T274" s="99"/>
      <c r="W274" s="100">
        <f>SUM($W$299:$W$306)</f>
        <v>59.215964</v>
      </c>
      <c r="Y274" s="100">
        <f>SUM($Y$299:$Y$306)</f>
        <v>3.7581600000000002</v>
      </c>
      <c r="AA274" s="101">
        <f>SUM($AA$299:$AA$306)</f>
        <v>0</v>
      </c>
      <c r="AC274" s="140"/>
      <c r="AD274" s="140"/>
      <c r="AE274" s="140"/>
      <c r="AF274" s="140"/>
      <c r="AG274" s="140"/>
      <c r="AH274" s="140"/>
      <c r="AI274" s="140"/>
      <c r="AJ274" s="140"/>
      <c r="AR274" s="97" t="s">
        <v>18</v>
      </c>
      <c r="AT274" s="97" t="s">
        <v>71</v>
      </c>
      <c r="AU274" s="97" t="s">
        <v>18</v>
      </c>
      <c r="AY274" s="97" t="s">
        <v>115</v>
      </c>
      <c r="BK274" s="102">
        <f>SUM($BK$299:$BK$306)</f>
        <v>0</v>
      </c>
    </row>
    <row r="275" spans="2:65" s="167" customFormat="1" ht="28.9" customHeight="1" x14ac:dyDescent="0.3">
      <c r="B275" s="168"/>
      <c r="C275" s="346">
        <v>105</v>
      </c>
      <c r="D275" s="346" t="s">
        <v>116</v>
      </c>
      <c r="E275" s="347" t="s">
        <v>402</v>
      </c>
      <c r="F275" s="348" t="s">
        <v>403</v>
      </c>
      <c r="G275" s="348"/>
      <c r="H275" s="348"/>
      <c r="I275" s="348"/>
      <c r="J275" s="349" t="s">
        <v>119</v>
      </c>
      <c r="K275" s="350">
        <f>K276</f>
        <v>30.9</v>
      </c>
      <c r="L275" s="351"/>
      <c r="M275" s="351"/>
      <c r="N275" s="351">
        <f>ROUND(L275*K275,3)</f>
        <v>0</v>
      </c>
      <c r="O275" s="351"/>
      <c r="P275" s="351"/>
      <c r="Q275" s="351"/>
      <c r="R275" s="173"/>
      <c r="T275" s="212" t="s">
        <v>293</v>
      </c>
      <c r="U275" s="213" t="s">
        <v>37</v>
      </c>
      <c r="V275" s="214">
        <v>2.3199999999999998</v>
      </c>
      <c r="W275" s="214">
        <f>V275*K275</f>
        <v>71.687999999999988</v>
      </c>
      <c r="X275" s="214">
        <v>0</v>
      </c>
      <c r="Y275" s="214">
        <f>X275*K275</f>
        <v>0</v>
      </c>
      <c r="Z275" s="214">
        <v>0</v>
      </c>
      <c r="AA275" s="215">
        <f>Z275*K275</f>
        <v>0</v>
      </c>
      <c r="AR275" s="178" t="s">
        <v>120</v>
      </c>
      <c r="AT275" s="178" t="s">
        <v>116</v>
      </c>
      <c r="AU275" s="178" t="s">
        <v>82</v>
      </c>
      <c r="AY275" s="178" t="s">
        <v>115</v>
      </c>
      <c r="BE275" s="179">
        <f>IF(U275="základní",N275,0)</f>
        <v>0</v>
      </c>
      <c r="BF275" s="179">
        <f>IF(U275="snížená",N275,0)</f>
        <v>0</v>
      </c>
      <c r="BG275" s="179">
        <f>IF(U275="zákl. přenesená",N275,0)</f>
        <v>0</v>
      </c>
      <c r="BH275" s="179">
        <f>IF(U275="sníž. přenesená",N275,0)</f>
        <v>0</v>
      </c>
      <c r="BI275" s="179">
        <f>IF(U275="nulová",N275,0)</f>
        <v>0</v>
      </c>
      <c r="BJ275" s="178" t="s">
        <v>18</v>
      </c>
      <c r="BK275" s="180">
        <f>ROUND(L275*K275,3)</f>
        <v>0</v>
      </c>
      <c r="BL275" s="178" t="s">
        <v>120</v>
      </c>
      <c r="BM275" s="178" t="s">
        <v>404</v>
      </c>
    </row>
    <row r="276" spans="2:65" s="352" customFormat="1" ht="20.45" customHeight="1" x14ac:dyDescent="0.3">
      <c r="B276" s="353"/>
      <c r="C276" s="354"/>
      <c r="D276" s="354"/>
      <c r="E276" s="355" t="s">
        <v>293</v>
      </c>
      <c r="F276" s="356" t="s">
        <v>435</v>
      </c>
      <c r="G276" s="357"/>
      <c r="H276" s="357"/>
      <c r="I276" s="357"/>
      <c r="J276" s="354"/>
      <c r="K276" s="358">
        <f>51.5*0.6*1</f>
        <v>30.9</v>
      </c>
      <c r="L276" s="354"/>
      <c r="M276" s="354"/>
      <c r="N276" s="354"/>
      <c r="O276" s="354"/>
      <c r="P276" s="354"/>
      <c r="Q276" s="354"/>
      <c r="R276" s="359"/>
      <c r="T276" s="360"/>
      <c r="U276" s="361"/>
      <c r="V276" s="361"/>
      <c r="W276" s="361"/>
      <c r="X276" s="361"/>
      <c r="Y276" s="361"/>
      <c r="Z276" s="361"/>
      <c r="AA276" s="362"/>
      <c r="AT276" s="363" t="s">
        <v>128</v>
      </c>
      <c r="AU276" s="363" t="s">
        <v>82</v>
      </c>
      <c r="AV276" s="352" t="s">
        <v>82</v>
      </c>
      <c r="AW276" s="352" t="s">
        <v>30</v>
      </c>
      <c r="AX276" s="352" t="s">
        <v>18</v>
      </c>
      <c r="AY276" s="363" t="s">
        <v>115</v>
      </c>
    </row>
    <row r="277" spans="2:65" s="167" customFormat="1" ht="28.9" customHeight="1" x14ac:dyDescent="0.3">
      <c r="B277" s="168"/>
      <c r="C277" s="346">
        <v>106</v>
      </c>
      <c r="D277" s="346" t="s">
        <v>116</v>
      </c>
      <c r="E277" s="347" t="s">
        <v>405</v>
      </c>
      <c r="F277" s="348" t="s">
        <v>406</v>
      </c>
      <c r="G277" s="348"/>
      <c r="H277" s="348"/>
      <c r="I277" s="348"/>
      <c r="J277" s="349" t="s">
        <v>119</v>
      </c>
      <c r="K277" s="350">
        <f>K275</f>
        <v>30.9</v>
      </c>
      <c r="L277" s="351"/>
      <c r="M277" s="351"/>
      <c r="N277" s="351">
        <f>ROUND(L277*K277,3)</f>
        <v>0</v>
      </c>
      <c r="O277" s="351"/>
      <c r="P277" s="351"/>
      <c r="Q277" s="351"/>
      <c r="R277" s="173"/>
      <c r="T277" s="212" t="s">
        <v>293</v>
      </c>
      <c r="U277" s="213" t="s">
        <v>37</v>
      </c>
      <c r="V277" s="214">
        <v>0.65400000000000003</v>
      </c>
      <c r="W277" s="214">
        <f>V277*K277</f>
        <v>20.208600000000001</v>
      </c>
      <c r="X277" s="214">
        <v>0</v>
      </c>
      <c r="Y277" s="214">
        <f>X277*K277</f>
        <v>0</v>
      </c>
      <c r="Z277" s="214">
        <v>0</v>
      </c>
      <c r="AA277" s="215">
        <f>Z277*K277</f>
        <v>0</v>
      </c>
      <c r="AR277" s="178" t="s">
        <v>120</v>
      </c>
      <c r="AT277" s="178" t="s">
        <v>116</v>
      </c>
      <c r="AU277" s="178" t="s">
        <v>82</v>
      </c>
      <c r="AY277" s="178" t="s">
        <v>115</v>
      </c>
      <c r="BE277" s="179">
        <f>IF(U277="základní",N277,0)</f>
        <v>0</v>
      </c>
      <c r="BF277" s="179">
        <f>IF(U277="snížená",N277,0)</f>
        <v>0</v>
      </c>
      <c r="BG277" s="179">
        <f>IF(U277="zákl. přenesená",N277,0)</f>
        <v>0</v>
      </c>
      <c r="BH277" s="179">
        <f>IF(U277="sníž. přenesená",N277,0)</f>
        <v>0</v>
      </c>
      <c r="BI277" s="179">
        <f>IF(U277="nulová",N277,0)</f>
        <v>0</v>
      </c>
      <c r="BJ277" s="178" t="s">
        <v>18</v>
      </c>
      <c r="BK277" s="180">
        <f>ROUND(L277*K277,3)</f>
        <v>0</v>
      </c>
      <c r="BL277" s="178" t="s">
        <v>120</v>
      </c>
      <c r="BM277" s="178" t="s">
        <v>407</v>
      </c>
    </row>
    <row r="278" spans="2:65" s="167" customFormat="1" ht="28.9" customHeight="1" x14ac:dyDescent="0.3">
      <c r="B278" s="168"/>
      <c r="C278" s="346">
        <v>107</v>
      </c>
      <c r="D278" s="346" t="s">
        <v>116</v>
      </c>
      <c r="E278" s="347" t="s">
        <v>408</v>
      </c>
      <c r="F278" s="348" t="s">
        <v>409</v>
      </c>
      <c r="G278" s="348"/>
      <c r="H278" s="348"/>
      <c r="I278" s="348"/>
      <c r="J278" s="349" t="s">
        <v>119</v>
      </c>
      <c r="K278" s="350">
        <f>K280</f>
        <v>18.54</v>
      </c>
      <c r="L278" s="351"/>
      <c r="M278" s="351"/>
      <c r="N278" s="351">
        <f>ROUND(L278*K278,3)</f>
        <v>0</v>
      </c>
      <c r="O278" s="351"/>
      <c r="P278" s="351"/>
      <c r="Q278" s="351"/>
      <c r="R278" s="173"/>
      <c r="T278" s="212" t="s">
        <v>293</v>
      </c>
      <c r="U278" s="213" t="s">
        <v>37</v>
      </c>
      <c r="V278" s="214">
        <v>0.29899999999999999</v>
      </c>
      <c r="W278" s="214">
        <f>V278*K278</f>
        <v>5.5434599999999996</v>
      </c>
      <c r="X278" s="214">
        <v>0</v>
      </c>
      <c r="Y278" s="214">
        <f>X278*K278</f>
        <v>0</v>
      </c>
      <c r="Z278" s="214">
        <v>0</v>
      </c>
      <c r="AA278" s="215">
        <f>Z278*K278</f>
        <v>0</v>
      </c>
      <c r="AR278" s="178" t="s">
        <v>120</v>
      </c>
      <c r="AT278" s="178" t="s">
        <v>116</v>
      </c>
      <c r="AU278" s="178" t="s">
        <v>82</v>
      </c>
      <c r="AY278" s="178" t="s">
        <v>115</v>
      </c>
      <c r="BE278" s="179">
        <f>IF(U278="základní",N278,0)</f>
        <v>0</v>
      </c>
      <c r="BF278" s="179">
        <f>IF(U278="snížená",N278,0)</f>
        <v>0</v>
      </c>
      <c r="BG278" s="179">
        <f>IF(U278="zákl. přenesená",N278,0)</f>
        <v>0</v>
      </c>
      <c r="BH278" s="179">
        <f>IF(U278="sníž. přenesená",N278,0)</f>
        <v>0</v>
      </c>
      <c r="BI278" s="179">
        <f>IF(U278="nulová",N278,0)</f>
        <v>0</v>
      </c>
      <c r="BJ278" s="178" t="s">
        <v>18</v>
      </c>
      <c r="BK278" s="180">
        <f>ROUND(L278*K278,3)</f>
        <v>0</v>
      </c>
      <c r="BL278" s="178" t="s">
        <v>120</v>
      </c>
      <c r="BM278" s="178" t="s">
        <v>410</v>
      </c>
    </row>
    <row r="279" spans="2:65" s="352" customFormat="1" ht="20.45" customHeight="1" x14ac:dyDescent="0.3">
      <c r="B279" s="353"/>
      <c r="C279" s="354"/>
      <c r="D279" s="354"/>
      <c r="E279" s="355" t="s">
        <v>293</v>
      </c>
      <c r="F279" s="364" t="s">
        <v>436</v>
      </c>
      <c r="G279" s="365"/>
      <c r="H279" s="365"/>
      <c r="I279" s="365"/>
      <c r="J279" s="354"/>
      <c r="K279" s="358">
        <f>51.5*0.6*0.6</f>
        <v>18.54</v>
      </c>
      <c r="L279" s="354"/>
      <c r="M279" s="354"/>
      <c r="N279" s="354"/>
      <c r="O279" s="354"/>
      <c r="P279" s="354"/>
      <c r="Q279" s="354"/>
      <c r="R279" s="359"/>
      <c r="T279" s="360"/>
      <c r="U279" s="361"/>
      <c r="V279" s="361"/>
      <c r="W279" s="361"/>
      <c r="X279" s="361"/>
      <c r="Y279" s="361"/>
      <c r="Z279" s="361"/>
      <c r="AA279" s="362"/>
      <c r="AT279" s="363" t="s">
        <v>128</v>
      </c>
      <c r="AU279" s="363" t="s">
        <v>82</v>
      </c>
      <c r="AV279" s="352" t="s">
        <v>82</v>
      </c>
      <c r="AW279" s="352" t="s">
        <v>30</v>
      </c>
      <c r="AX279" s="352" t="s">
        <v>72</v>
      </c>
      <c r="AY279" s="363" t="s">
        <v>115</v>
      </c>
    </row>
    <row r="280" spans="2:65" s="366" customFormat="1" ht="20.45" customHeight="1" x14ac:dyDescent="0.3">
      <c r="B280" s="367"/>
      <c r="C280" s="368"/>
      <c r="D280" s="368"/>
      <c r="E280" s="369" t="s">
        <v>293</v>
      </c>
      <c r="F280" s="370" t="s">
        <v>173</v>
      </c>
      <c r="G280" s="371"/>
      <c r="H280" s="371"/>
      <c r="I280" s="371"/>
      <c r="J280" s="368"/>
      <c r="K280" s="372">
        <f>K279</f>
        <v>18.54</v>
      </c>
      <c r="L280" s="368"/>
      <c r="M280" s="368"/>
      <c r="N280" s="368"/>
      <c r="O280" s="368"/>
      <c r="P280" s="368"/>
      <c r="Q280" s="368"/>
      <c r="R280" s="373"/>
      <c r="T280" s="374"/>
      <c r="U280" s="375"/>
      <c r="V280" s="375"/>
      <c r="W280" s="375"/>
      <c r="X280" s="375"/>
      <c r="Y280" s="375"/>
      <c r="Z280" s="375"/>
      <c r="AA280" s="376"/>
      <c r="AT280" s="377" t="s">
        <v>128</v>
      </c>
      <c r="AU280" s="377" t="s">
        <v>82</v>
      </c>
      <c r="AV280" s="366" t="s">
        <v>120</v>
      </c>
      <c r="AW280" s="366" t="s">
        <v>30</v>
      </c>
      <c r="AX280" s="366" t="s">
        <v>18</v>
      </c>
      <c r="AY280" s="377" t="s">
        <v>115</v>
      </c>
    </row>
    <row r="281" spans="2:65" s="167" customFormat="1" ht="28.9" customHeight="1" x14ac:dyDescent="0.3">
      <c r="B281" s="168"/>
      <c r="C281" s="346">
        <v>108</v>
      </c>
      <c r="D281" s="346" t="s">
        <v>116</v>
      </c>
      <c r="E281" s="347" t="s">
        <v>411</v>
      </c>
      <c r="F281" s="348" t="s">
        <v>412</v>
      </c>
      <c r="G281" s="348"/>
      <c r="H281" s="348"/>
      <c r="I281" s="348"/>
      <c r="J281" s="349" t="s">
        <v>119</v>
      </c>
      <c r="K281" s="350">
        <f>K283</f>
        <v>9.27</v>
      </c>
      <c r="L281" s="351"/>
      <c r="M281" s="351"/>
      <c r="N281" s="351">
        <f>ROUND(L281*K281,3)</f>
        <v>0</v>
      </c>
      <c r="O281" s="351"/>
      <c r="P281" s="351"/>
      <c r="Q281" s="351"/>
      <c r="R281" s="173"/>
      <c r="T281" s="212" t="s">
        <v>293</v>
      </c>
      <c r="U281" s="213" t="s">
        <v>37</v>
      </c>
      <c r="V281" s="214">
        <v>1.5</v>
      </c>
      <c r="W281" s="214">
        <f>V281*K281</f>
        <v>13.904999999999999</v>
      </c>
      <c r="X281" s="214">
        <v>0</v>
      </c>
      <c r="Y281" s="214">
        <f>X281*K281</f>
        <v>0</v>
      </c>
      <c r="Z281" s="214">
        <v>0</v>
      </c>
      <c r="AA281" s="215">
        <f>Z281*K281</f>
        <v>0</v>
      </c>
      <c r="AR281" s="178" t="s">
        <v>120</v>
      </c>
      <c r="AT281" s="178" t="s">
        <v>116</v>
      </c>
      <c r="AU281" s="178" t="s">
        <v>82</v>
      </c>
      <c r="AY281" s="178" t="s">
        <v>115</v>
      </c>
      <c r="BE281" s="179">
        <f>IF(U281="základní",N281,0)</f>
        <v>0</v>
      </c>
      <c r="BF281" s="179">
        <f>IF(U281="snížená",N281,0)</f>
        <v>0</v>
      </c>
      <c r="BG281" s="179">
        <f>IF(U281="zákl. přenesená",N281,0)</f>
        <v>0</v>
      </c>
      <c r="BH281" s="179">
        <f>IF(U281="sníž. přenesená",N281,0)</f>
        <v>0</v>
      </c>
      <c r="BI281" s="179">
        <f>IF(U281="nulová",N281,0)</f>
        <v>0</v>
      </c>
      <c r="BJ281" s="178" t="s">
        <v>18</v>
      </c>
      <c r="BK281" s="180">
        <f>ROUND(L281*K281,3)</f>
        <v>0</v>
      </c>
      <c r="BL281" s="178" t="s">
        <v>120</v>
      </c>
      <c r="BM281" s="178" t="s">
        <v>413</v>
      </c>
    </row>
    <row r="282" spans="2:65" s="352" customFormat="1" ht="20.45" customHeight="1" x14ac:dyDescent="0.3">
      <c r="B282" s="353"/>
      <c r="C282" s="354"/>
      <c r="D282" s="354"/>
      <c r="E282" s="355" t="s">
        <v>293</v>
      </c>
      <c r="F282" s="364" t="s">
        <v>437</v>
      </c>
      <c r="G282" s="365"/>
      <c r="H282" s="365"/>
      <c r="I282" s="365"/>
      <c r="J282" s="354"/>
      <c r="K282" s="358">
        <f>51.5*0.6*0.3</f>
        <v>9.27</v>
      </c>
      <c r="L282" s="354"/>
      <c r="M282" s="354"/>
      <c r="N282" s="354"/>
      <c r="O282" s="354"/>
      <c r="P282" s="354"/>
      <c r="Q282" s="354"/>
      <c r="R282" s="359"/>
      <c r="T282" s="360"/>
      <c r="U282" s="361"/>
      <c r="V282" s="361"/>
      <c r="W282" s="361"/>
      <c r="X282" s="361"/>
      <c r="Y282" s="361"/>
      <c r="Z282" s="361"/>
      <c r="AA282" s="362"/>
      <c r="AT282" s="363" t="s">
        <v>128</v>
      </c>
      <c r="AU282" s="363" t="s">
        <v>82</v>
      </c>
      <c r="AV282" s="352" t="s">
        <v>82</v>
      </c>
      <c r="AW282" s="352" t="s">
        <v>30</v>
      </c>
      <c r="AX282" s="352" t="s">
        <v>72</v>
      </c>
      <c r="AY282" s="363" t="s">
        <v>115</v>
      </c>
    </row>
    <row r="283" spans="2:65" s="366" customFormat="1" ht="20.45" customHeight="1" x14ac:dyDescent="0.3">
      <c r="B283" s="367"/>
      <c r="C283" s="368"/>
      <c r="D283" s="368"/>
      <c r="E283" s="369" t="s">
        <v>293</v>
      </c>
      <c r="F283" s="370" t="s">
        <v>173</v>
      </c>
      <c r="G283" s="371"/>
      <c r="H283" s="371"/>
      <c r="I283" s="371"/>
      <c r="J283" s="368"/>
      <c r="K283" s="372">
        <f>K282</f>
        <v>9.27</v>
      </c>
      <c r="L283" s="368"/>
      <c r="M283" s="368"/>
      <c r="N283" s="368"/>
      <c r="O283" s="368"/>
      <c r="P283" s="368"/>
      <c r="Q283" s="368"/>
      <c r="R283" s="373"/>
      <c r="T283" s="374"/>
      <c r="U283" s="375"/>
      <c r="V283" s="375"/>
      <c r="W283" s="375"/>
      <c r="X283" s="375"/>
      <c r="Y283" s="375"/>
      <c r="Z283" s="375"/>
      <c r="AA283" s="376"/>
      <c r="AT283" s="377" t="s">
        <v>128</v>
      </c>
      <c r="AU283" s="377" t="s">
        <v>82</v>
      </c>
      <c r="AV283" s="366" t="s">
        <v>120</v>
      </c>
      <c r="AW283" s="366" t="s">
        <v>30</v>
      </c>
      <c r="AX283" s="366" t="s">
        <v>18</v>
      </c>
      <c r="AY283" s="377" t="s">
        <v>115</v>
      </c>
    </row>
    <row r="284" spans="2:65" s="167" customFormat="1" ht="28.9" customHeight="1" x14ac:dyDescent="0.3">
      <c r="B284" s="168"/>
      <c r="C284" s="378">
        <v>109</v>
      </c>
      <c r="D284" s="378" t="s">
        <v>180</v>
      </c>
      <c r="E284" s="379" t="s">
        <v>414</v>
      </c>
      <c r="F284" s="380" t="s">
        <v>438</v>
      </c>
      <c r="G284" s="380"/>
      <c r="H284" s="380"/>
      <c r="I284" s="380"/>
      <c r="J284" s="381" t="s">
        <v>162</v>
      </c>
      <c r="K284" s="382">
        <f>K283*2</f>
        <v>18.54</v>
      </c>
      <c r="L284" s="383"/>
      <c r="M284" s="383"/>
      <c r="N284" s="383">
        <f>ROUND(L284*K284,3)</f>
        <v>0</v>
      </c>
      <c r="O284" s="351"/>
      <c r="P284" s="351"/>
      <c r="Q284" s="351"/>
      <c r="R284" s="173"/>
      <c r="T284" s="212" t="s">
        <v>293</v>
      </c>
      <c r="U284" s="213" t="s">
        <v>37</v>
      </c>
      <c r="V284" s="214">
        <v>0</v>
      </c>
      <c r="W284" s="214">
        <f>V284*K284</f>
        <v>0</v>
      </c>
      <c r="X284" s="214">
        <v>1</v>
      </c>
      <c r="Y284" s="214">
        <f>X284*K284</f>
        <v>18.54</v>
      </c>
      <c r="Z284" s="214">
        <v>0</v>
      </c>
      <c r="AA284" s="215">
        <f>Z284*K284</f>
        <v>0</v>
      </c>
      <c r="AR284" s="178" t="s">
        <v>139</v>
      </c>
      <c r="AT284" s="178" t="s">
        <v>180</v>
      </c>
      <c r="AU284" s="178" t="s">
        <v>82</v>
      </c>
      <c r="AY284" s="178" t="s">
        <v>115</v>
      </c>
      <c r="BE284" s="179">
        <f>IF(U284="základní",N284,0)</f>
        <v>0</v>
      </c>
      <c r="BF284" s="179">
        <f>IF(U284="snížená",N284,0)</f>
        <v>0</v>
      </c>
      <c r="BG284" s="179">
        <f>IF(U284="zákl. přenesená",N284,0)</f>
        <v>0</v>
      </c>
      <c r="BH284" s="179">
        <f>IF(U284="sníž. přenesená",N284,0)</f>
        <v>0</v>
      </c>
      <c r="BI284" s="179">
        <f>IF(U284="nulová",N284,0)</f>
        <v>0</v>
      </c>
      <c r="BJ284" s="178" t="s">
        <v>18</v>
      </c>
      <c r="BK284" s="180">
        <f>ROUND(L284*K284,3)</f>
        <v>0</v>
      </c>
      <c r="BL284" s="178" t="s">
        <v>120</v>
      </c>
      <c r="BM284" s="178" t="s">
        <v>415</v>
      </c>
    </row>
    <row r="285" spans="2:65" s="167" customFormat="1" ht="28.9" customHeight="1" x14ac:dyDescent="0.3">
      <c r="B285" s="168"/>
      <c r="C285" s="346">
        <v>110</v>
      </c>
      <c r="D285" s="346" t="s">
        <v>116</v>
      </c>
      <c r="E285" s="347" t="s">
        <v>416</v>
      </c>
      <c r="F285" s="348" t="s">
        <v>417</v>
      </c>
      <c r="G285" s="348"/>
      <c r="H285" s="348"/>
      <c r="I285" s="348"/>
      <c r="J285" s="349" t="s">
        <v>119</v>
      </c>
      <c r="K285" s="350">
        <f>K287</f>
        <v>12.36</v>
      </c>
      <c r="L285" s="351"/>
      <c r="M285" s="351"/>
      <c r="N285" s="351">
        <f>ROUND(L285*K285,3)</f>
        <v>0</v>
      </c>
      <c r="O285" s="351"/>
      <c r="P285" s="351"/>
      <c r="Q285" s="351"/>
      <c r="R285" s="173"/>
      <c r="T285" s="212" t="s">
        <v>293</v>
      </c>
      <c r="U285" s="213" t="s">
        <v>37</v>
      </c>
      <c r="V285" s="214">
        <v>0.65200000000000002</v>
      </c>
      <c r="W285" s="214">
        <f>V285*K285</f>
        <v>8.0587199999999992</v>
      </c>
      <c r="X285" s="214">
        <v>0</v>
      </c>
      <c r="Y285" s="214">
        <f>X285*K285</f>
        <v>0</v>
      </c>
      <c r="Z285" s="214">
        <v>0</v>
      </c>
      <c r="AA285" s="215">
        <f>Z285*K285</f>
        <v>0</v>
      </c>
      <c r="AR285" s="178" t="s">
        <v>120</v>
      </c>
      <c r="AT285" s="178" t="s">
        <v>116</v>
      </c>
      <c r="AU285" s="178" t="s">
        <v>82</v>
      </c>
      <c r="AY285" s="178" t="s">
        <v>115</v>
      </c>
      <c r="BE285" s="179">
        <f>IF(U285="základní",N285,0)</f>
        <v>0</v>
      </c>
      <c r="BF285" s="179">
        <f>IF(U285="snížená",N285,0)</f>
        <v>0</v>
      </c>
      <c r="BG285" s="179">
        <f>IF(U285="zákl. přenesená",N285,0)</f>
        <v>0</v>
      </c>
      <c r="BH285" s="179">
        <f>IF(U285="sníž. přenesená",N285,0)</f>
        <v>0</v>
      </c>
      <c r="BI285" s="179">
        <f>IF(U285="nulová",N285,0)</f>
        <v>0</v>
      </c>
      <c r="BJ285" s="178" t="s">
        <v>18</v>
      </c>
      <c r="BK285" s="180">
        <f>ROUND(L285*K285,3)</f>
        <v>0</v>
      </c>
      <c r="BL285" s="178" t="s">
        <v>120</v>
      </c>
      <c r="BM285" s="178" t="s">
        <v>418</v>
      </c>
    </row>
    <row r="286" spans="2:65" s="352" customFormat="1" ht="20.45" customHeight="1" x14ac:dyDescent="0.3">
      <c r="B286" s="353"/>
      <c r="C286" s="354"/>
      <c r="D286" s="354"/>
      <c r="E286" s="355" t="s">
        <v>293</v>
      </c>
      <c r="F286" s="364" t="s">
        <v>439</v>
      </c>
      <c r="G286" s="365"/>
      <c r="H286" s="365"/>
      <c r="I286" s="365"/>
      <c r="J286" s="354"/>
      <c r="K286" s="358">
        <f>51.5*0.6*0.4</f>
        <v>12.36</v>
      </c>
      <c r="L286" s="354"/>
      <c r="M286" s="354"/>
      <c r="N286" s="354"/>
      <c r="O286" s="354"/>
      <c r="P286" s="354"/>
      <c r="Q286" s="354"/>
      <c r="R286" s="359"/>
      <c r="T286" s="360"/>
      <c r="U286" s="361"/>
      <c r="V286" s="361"/>
      <c r="W286" s="361"/>
      <c r="X286" s="361"/>
      <c r="Y286" s="361"/>
      <c r="Z286" s="361"/>
      <c r="AA286" s="362"/>
      <c r="AT286" s="363" t="s">
        <v>128</v>
      </c>
      <c r="AU286" s="363" t="s">
        <v>82</v>
      </c>
      <c r="AV286" s="352" t="s">
        <v>82</v>
      </c>
      <c r="AW286" s="352" t="s">
        <v>30</v>
      </c>
      <c r="AX286" s="352" t="s">
        <v>72</v>
      </c>
      <c r="AY286" s="363" t="s">
        <v>115</v>
      </c>
    </row>
    <row r="287" spans="2:65" s="366" customFormat="1" ht="20.45" customHeight="1" x14ac:dyDescent="0.3">
      <c r="B287" s="367"/>
      <c r="C287" s="368"/>
      <c r="D287" s="368"/>
      <c r="E287" s="369" t="s">
        <v>293</v>
      </c>
      <c r="F287" s="370" t="s">
        <v>173</v>
      </c>
      <c r="G287" s="371"/>
      <c r="H287" s="371"/>
      <c r="I287" s="371"/>
      <c r="J287" s="368"/>
      <c r="K287" s="372">
        <f>K286</f>
        <v>12.36</v>
      </c>
      <c r="L287" s="368"/>
      <c r="M287" s="368"/>
      <c r="N287" s="368"/>
      <c r="O287" s="368"/>
      <c r="P287" s="368"/>
      <c r="Q287" s="368"/>
      <c r="R287" s="373"/>
      <c r="T287" s="374"/>
      <c r="U287" s="375"/>
      <c r="V287" s="375"/>
      <c r="W287" s="375"/>
      <c r="X287" s="375"/>
      <c r="Y287" s="375"/>
      <c r="Z287" s="375"/>
      <c r="AA287" s="376"/>
      <c r="AT287" s="377" t="s">
        <v>128</v>
      </c>
      <c r="AU287" s="377" t="s">
        <v>82</v>
      </c>
      <c r="AV287" s="366" t="s">
        <v>120</v>
      </c>
      <c r="AW287" s="366" t="s">
        <v>30</v>
      </c>
      <c r="AX287" s="366" t="s">
        <v>18</v>
      </c>
      <c r="AY287" s="377" t="s">
        <v>115</v>
      </c>
    </row>
    <row r="288" spans="2:65" s="167" customFormat="1" ht="28.9" customHeight="1" x14ac:dyDescent="0.3">
      <c r="B288" s="168"/>
      <c r="C288" s="346">
        <v>111</v>
      </c>
      <c r="D288" s="346" t="s">
        <v>116</v>
      </c>
      <c r="E288" s="347" t="s">
        <v>419</v>
      </c>
      <c r="F288" s="348" t="s">
        <v>420</v>
      </c>
      <c r="G288" s="348"/>
      <c r="H288" s="348"/>
      <c r="I288" s="348"/>
      <c r="J288" s="349" t="s">
        <v>119</v>
      </c>
      <c r="K288" s="350">
        <f>K290</f>
        <v>3.09</v>
      </c>
      <c r="L288" s="351"/>
      <c r="M288" s="351"/>
      <c r="N288" s="351">
        <f>ROUND(L288*K288,3)</f>
        <v>0</v>
      </c>
      <c r="O288" s="351"/>
      <c r="P288" s="351"/>
      <c r="Q288" s="351"/>
      <c r="R288" s="173"/>
      <c r="T288" s="212" t="s">
        <v>293</v>
      </c>
      <c r="U288" s="213" t="s">
        <v>37</v>
      </c>
      <c r="V288" s="214">
        <v>1.3029999999999999</v>
      </c>
      <c r="W288" s="214">
        <f>V288*K288</f>
        <v>4.0262699999999993</v>
      </c>
      <c r="X288" s="214">
        <v>0</v>
      </c>
      <c r="Y288" s="214">
        <f>X288*K288</f>
        <v>0</v>
      </c>
      <c r="Z288" s="214">
        <v>0</v>
      </c>
      <c r="AA288" s="215">
        <f>Z288*K288</f>
        <v>0</v>
      </c>
      <c r="AR288" s="178" t="s">
        <v>120</v>
      </c>
      <c r="AT288" s="178" t="s">
        <v>116</v>
      </c>
      <c r="AU288" s="178" t="s">
        <v>82</v>
      </c>
      <c r="AY288" s="178" t="s">
        <v>115</v>
      </c>
      <c r="BE288" s="179">
        <f>IF(U288="základní",N288,0)</f>
        <v>0</v>
      </c>
      <c r="BF288" s="179">
        <f>IF(U288="snížená",N288,0)</f>
        <v>0</v>
      </c>
      <c r="BG288" s="179">
        <f>IF(U288="zákl. přenesená",N288,0)</f>
        <v>0</v>
      </c>
      <c r="BH288" s="179">
        <f>IF(U288="sníž. přenesená",N288,0)</f>
        <v>0</v>
      </c>
      <c r="BI288" s="179">
        <f>IF(U288="nulová",N288,0)</f>
        <v>0</v>
      </c>
      <c r="BJ288" s="178" t="s">
        <v>18</v>
      </c>
      <c r="BK288" s="180">
        <f>ROUND(L288*K288,3)</f>
        <v>0</v>
      </c>
      <c r="BL288" s="178" t="s">
        <v>120</v>
      </c>
      <c r="BM288" s="178" t="s">
        <v>421</v>
      </c>
    </row>
    <row r="289" spans="2:65" s="352" customFormat="1" ht="20.45" customHeight="1" x14ac:dyDescent="0.3">
      <c r="B289" s="353"/>
      <c r="C289" s="354"/>
      <c r="D289" s="354"/>
      <c r="E289" s="355" t="s">
        <v>293</v>
      </c>
      <c r="F289" s="364" t="s">
        <v>440</v>
      </c>
      <c r="G289" s="365"/>
      <c r="H289" s="365"/>
      <c r="I289" s="365"/>
      <c r="J289" s="354"/>
      <c r="K289" s="358">
        <f>51.5*0.6*0.1</f>
        <v>3.09</v>
      </c>
      <c r="L289" s="354"/>
      <c r="M289" s="354"/>
      <c r="N289" s="354"/>
      <c r="O289" s="354"/>
      <c r="P289" s="354"/>
      <c r="Q289" s="354"/>
      <c r="R289" s="359"/>
      <c r="T289" s="360"/>
      <c r="U289" s="361"/>
      <c r="V289" s="361"/>
      <c r="W289" s="361"/>
      <c r="X289" s="361"/>
      <c r="Y289" s="361"/>
      <c r="Z289" s="361"/>
      <c r="AA289" s="362"/>
      <c r="AT289" s="363" t="s">
        <v>128</v>
      </c>
      <c r="AU289" s="363" t="s">
        <v>82</v>
      </c>
      <c r="AV289" s="352" t="s">
        <v>82</v>
      </c>
      <c r="AW289" s="352" t="s">
        <v>30</v>
      </c>
      <c r="AX289" s="352" t="s">
        <v>72</v>
      </c>
      <c r="AY289" s="363" t="s">
        <v>115</v>
      </c>
    </row>
    <row r="290" spans="2:65" s="366" customFormat="1" ht="20.45" customHeight="1" x14ac:dyDescent="0.3">
      <c r="B290" s="367"/>
      <c r="C290" s="368"/>
      <c r="D290" s="368"/>
      <c r="E290" s="369" t="s">
        <v>293</v>
      </c>
      <c r="F290" s="370" t="s">
        <v>173</v>
      </c>
      <c r="G290" s="371"/>
      <c r="H290" s="371"/>
      <c r="I290" s="371"/>
      <c r="J290" s="368"/>
      <c r="K290" s="372">
        <f>K289</f>
        <v>3.09</v>
      </c>
      <c r="L290" s="368"/>
      <c r="M290" s="368"/>
      <c r="N290" s="368"/>
      <c r="O290" s="368"/>
      <c r="P290" s="368"/>
      <c r="Q290" s="368"/>
      <c r="R290" s="373"/>
      <c r="T290" s="374"/>
      <c r="U290" s="375"/>
      <c r="V290" s="375"/>
      <c r="W290" s="375"/>
      <c r="X290" s="375"/>
      <c r="Y290" s="375"/>
      <c r="Z290" s="375"/>
      <c r="AA290" s="376"/>
      <c r="AT290" s="377" t="s">
        <v>128</v>
      </c>
      <c r="AU290" s="377" t="s">
        <v>82</v>
      </c>
      <c r="AV290" s="366" t="s">
        <v>120</v>
      </c>
      <c r="AW290" s="366" t="s">
        <v>30</v>
      </c>
      <c r="AX290" s="366" t="s">
        <v>18</v>
      </c>
      <c r="AY290" s="377" t="s">
        <v>115</v>
      </c>
    </row>
    <row r="291" spans="2:65" s="167" customFormat="1" ht="28.9" customHeight="1" x14ac:dyDescent="0.3">
      <c r="B291" s="168"/>
      <c r="C291" s="346">
        <v>112</v>
      </c>
      <c r="D291" s="346" t="s">
        <v>116</v>
      </c>
      <c r="E291" s="347" t="s">
        <v>124</v>
      </c>
      <c r="F291" s="348" t="s">
        <v>125</v>
      </c>
      <c r="G291" s="348"/>
      <c r="H291" s="348"/>
      <c r="I291" s="348"/>
      <c r="J291" s="349" t="s">
        <v>119</v>
      </c>
      <c r="K291" s="350">
        <f>K287</f>
        <v>12.36</v>
      </c>
      <c r="L291" s="351"/>
      <c r="M291" s="351"/>
      <c r="N291" s="351">
        <f t="shared" ref="N291:N297" si="28">ROUND(L291*K291,3)</f>
        <v>0</v>
      </c>
      <c r="O291" s="351"/>
      <c r="P291" s="351"/>
      <c r="Q291" s="351"/>
      <c r="R291" s="173"/>
      <c r="T291" s="212" t="s">
        <v>293</v>
      </c>
      <c r="U291" s="213" t="s">
        <v>37</v>
      </c>
      <c r="V291" s="214">
        <v>8.3000000000000004E-2</v>
      </c>
      <c r="W291" s="214">
        <f t="shared" ref="W291:W297" si="29">V291*K291</f>
        <v>1.0258799999999999</v>
      </c>
      <c r="X291" s="214">
        <v>0</v>
      </c>
      <c r="Y291" s="214">
        <f t="shared" ref="Y291:Y297" si="30">X291*K291</f>
        <v>0</v>
      </c>
      <c r="Z291" s="214">
        <v>0</v>
      </c>
      <c r="AA291" s="215">
        <f t="shared" ref="AA291:AA297" si="31">Z291*K291</f>
        <v>0</v>
      </c>
      <c r="AR291" s="178" t="s">
        <v>120</v>
      </c>
      <c r="AT291" s="178" t="s">
        <v>116</v>
      </c>
      <c r="AU291" s="178" t="s">
        <v>82</v>
      </c>
      <c r="AY291" s="178" t="s">
        <v>115</v>
      </c>
      <c r="BE291" s="179">
        <f t="shared" ref="BE291:BE297" si="32">IF(U291="základní",N291,0)</f>
        <v>0</v>
      </c>
      <c r="BF291" s="179">
        <f t="shared" ref="BF291:BF297" si="33">IF(U291="snížená",N291,0)</f>
        <v>0</v>
      </c>
      <c r="BG291" s="179">
        <f t="shared" ref="BG291:BG297" si="34">IF(U291="zákl. přenesená",N291,0)</f>
        <v>0</v>
      </c>
      <c r="BH291" s="179">
        <f t="shared" ref="BH291:BH297" si="35">IF(U291="sníž. přenesená",N291,0)</f>
        <v>0</v>
      </c>
      <c r="BI291" s="179">
        <f t="shared" ref="BI291:BI297" si="36">IF(U291="nulová",N291,0)</f>
        <v>0</v>
      </c>
      <c r="BJ291" s="178" t="s">
        <v>18</v>
      </c>
      <c r="BK291" s="180">
        <f t="shared" ref="BK291:BK297" si="37">ROUND(L291*K291,3)</f>
        <v>0</v>
      </c>
      <c r="BL291" s="178" t="s">
        <v>120</v>
      </c>
      <c r="BM291" s="178" t="s">
        <v>422</v>
      </c>
    </row>
    <row r="292" spans="2:65" s="167" customFormat="1" ht="20.45" customHeight="1" x14ac:dyDescent="0.3">
      <c r="B292" s="168"/>
      <c r="C292" s="346">
        <v>113</v>
      </c>
      <c r="D292" s="346" t="s">
        <v>116</v>
      </c>
      <c r="E292" s="347" t="s">
        <v>137</v>
      </c>
      <c r="F292" s="348" t="s">
        <v>138</v>
      </c>
      <c r="G292" s="348"/>
      <c r="H292" s="348"/>
      <c r="I292" s="348"/>
      <c r="J292" s="349" t="s">
        <v>119</v>
      </c>
      <c r="K292" s="350">
        <f>K287</f>
        <v>12.36</v>
      </c>
      <c r="L292" s="351"/>
      <c r="M292" s="351"/>
      <c r="N292" s="351">
        <f t="shared" si="28"/>
        <v>0</v>
      </c>
      <c r="O292" s="351"/>
      <c r="P292" s="351"/>
      <c r="Q292" s="351"/>
      <c r="R292" s="173"/>
      <c r="T292" s="212" t="s">
        <v>293</v>
      </c>
      <c r="U292" s="213" t="s">
        <v>37</v>
      </c>
      <c r="V292" s="214">
        <v>8.9999999999999993E-3</v>
      </c>
      <c r="W292" s="214">
        <f t="shared" si="29"/>
        <v>0.11123999999999999</v>
      </c>
      <c r="X292" s="214">
        <v>0</v>
      </c>
      <c r="Y292" s="214">
        <f t="shared" si="30"/>
        <v>0</v>
      </c>
      <c r="Z292" s="214">
        <v>0</v>
      </c>
      <c r="AA292" s="215">
        <f t="shared" si="31"/>
        <v>0</v>
      </c>
      <c r="AR292" s="178" t="s">
        <v>120</v>
      </c>
      <c r="AT292" s="178" t="s">
        <v>116</v>
      </c>
      <c r="AU292" s="178" t="s">
        <v>82</v>
      </c>
      <c r="AY292" s="178" t="s">
        <v>115</v>
      </c>
      <c r="BE292" s="179">
        <f t="shared" si="32"/>
        <v>0</v>
      </c>
      <c r="BF292" s="179">
        <f t="shared" si="33"/>
        <v>0</v>
      </c>
      <c r="BG292" s="179">
        <f t="shared" si="34"/>
        <v>0</v>
      </c>
      <c r="BH292" s="179">
        <f t="shared" si="35"/>
        <v>0</v>
      </c>
      <c r="BI292" s="179">
        <f t="shared" si="36"/>
        <v>0</v>
      </c>
      <c r="BJ292" s="178" t="s">
        <v>18</v>
      </c>
      <c r="BK292" s="180">
        <f t="shared" si="37"/>
        <v>0</v>
      </c>
      <c r="BL292" s="178" t="s">
        <v>120</v>
      </c>
      <c r="BM292" s="178" t="s">
        <v>423</v>
      </c>
    </row>
    <row r="293" spans="2:65" s="167" customFormat="1" ht="28.9" customHeight="1" x14ac:dyDescent="0.3">
      <c r="B293" s="168"/>
      <c r="C293" s="346">
        <v>114</v>
      </c>
      <c r="D293" s="346" t="s">
        <v>116</v>
      </c>
      <c r="E293" s="347" t="s">
        <v>140</v>
      </c>
      <c r="F293" s="348" t="s">
        <v>141</v>
      </c>
      <c r="G293" s="348"/>
      <c r="H293" s="348"/>
      <c r="I293" s="348"/>
      <c r="J293" s="349" t="s">
        <v>119</v>
      </c>
      <c r="K293" s="350">
        <f>K287</f>
        <v>12.36</v>
      </c>
      <c r="L293" s="351"/>
      <c r="M293" s="351"/>
      <c r="N293" s="351">
        <f t="shared" si="28"/>
        <v>0</v>
      </c>
      <c r="O293" s="351"/>
      <c r="P293" s="351"/>
      <c r="Q293" s="351"/>
      <c r="R293" s="173"/>
      <c r="T293" s="212" t="s">
        <v>293</v>
      </c>
      <c r="U293" s="213" t="s">
        <v>37</v>
      </c>
      <c r="V293" s="214">
        <v>0</v>
      </c>
      <c r="W293" s="214">
        <f t="shared" si="29"/>
        <v>0</v>
      </c>
      <c r="X293" s="214">
        <v>0</v>
      </c>
      <c r="Y293" s="214">
        <f t="shared" si="30"/>
        <v>0</v>
      </c>
      <c r="Z293" s="214">
        <v>0</v>
      </c>
      <c r="AA293" s="215">
        <f t="shared" si="31"/>
        <v>0</v>
      </c>
      <c r="AR293" s="178" t="s">
        <v>120</v>
      </c>
      <c r="AT293" s="178" t="s">
        <v>116</v>
      </c>
      <c r="AU293" s="178" t="s">
        <v>82</v>
      </c>
      <c r="AY293" s="178" t="s">
        <v>115</v>
      </c>
      <c r="BE293" s="179">
        <f t="shared" si="32"/>
        <v>0</v>
      </c>
      <c r="BF293" s="179">
        <f t="shared" si="33"/>
        <v>0</v>
      </c>
      <c r="BG293" s="179">
        <f t="shared" si="34"/>
        <v>0</v>
      </c>
      <c r="BH293" s="179">
        <f t="shared" si="35"/>
        <v>0</v>
      </c>
      <c r="BI293" s="179">
        <f t="shared" si="36"/>
        <v>0</v>
      </c>
      <c r="BJ293" s="178" t="s">
        <v>18</v>
      </c>
      <c r="BK293" s="180">
        <f t="shared" si="37"/>
        <v>0</v>
      </c>
      <c r="BL293" s="178" t="s">
        <v>120</v>
      </c>
      <c r="BM293" s="178" t="s">
        <v>424</v>
      </c>
    </row>
    <row r="294" spans="2:65" s="167" customFormat="1" ht="28.9" customHeight="1" x14ac:dyDescent="0.3">
      <c r="B294" s="168"/>
      <c r="C294" s="346">
        <v>115</v>
      </c>
      <c r="D294" s="346" t="s">
        <v>116</v>
      </c>
      <c r="E294" s="347" t="s">
        <v>425</v>
      </c>
      <c r="F294" s="348" t="s">
        <v>426</v>
      </c>
      <c r="G294" s="348"/>
      <c r="H294" s="348"/>
      <c r="I294" s="348"/>
      <c r="J294" s="349" t="s">
        <v>159</v>
      </c>
      <c r="K294" s="350">
        <v>7</v>
      </c>
      <c r="L294" s="351"/>
      <c r="M294" s="351"/>
      <c r="N294" s="351">
        <f t="shared" si="28"/>
        <v>0</v>
      </c>
      <c r="O294" s="351"/>
      <c r="P294" s="351"/>
      <c r="Q294" s="351"/>
      <c r="R294" s="173"/>
      <c r="T294" s="212" t="s">
        <v>293</v>
      </c>
      <c r="U294" s="213" t="s">
        <v>37</v>
      </c>
      <c r="V294" s="214">
        <v>0.34200000000000003</v>
      </c>
      <c r="W294" s="214">
        <f t="shared" si="29"/>
        <v>2.3940000000000001</v>
      </c>
      <c r="X294" s="214">
        <v>3.5249999999999999E-3</v>
      </c>
      <c r="Y294" s="214">
        <f t="shared" si="30"/>
        <v>2.4674999999999999E-2</v>
      </c>
      <c r="Z294" s="214">
        <v>0</v>
      </c>
      <c r="AA294" s="215">
        <f t="shared" si="31"/>
        <v>0</v>
      </c>
      <c r="AR294" s="178" t="s">
        <v>120</v>
      </c>
      <c r="AT294" s="178" t="s">
        <v>116</v>
      </c>
      <c r="AU294" s="178" t="s">
        <v>82</v>
      </c>
      <c r="AY294" s="178" t="s">
        <v>115</v>
      </c>
      <c r="BE294" s="179">
        <f t="shared" si="32"/>
        <v>0</v>
      </c>
      <c r="BF294" s="179">
        <f t="shared" si="33"/>
        <v>0</v>
      </c>
      <c r="BG294" s="179">
        <f t="shared" si="34"/>
        <v>0</v>
      </c>
      <c r="BH294" s="179">
        <f t="shared" si="35"/>
        <v>0</v>
      </c>
      <c r="BI294" s="179">
        <f t="shared" si="36"/>
        <v>0</v>
      </c>
      <c r="BJ294" s="178" t="s">
        <v>18</v>
      </c>
      <c r="BK294" s="180">
        <f t="shared" si="37"/>
        <v>0</v>
      </c>
      <c r="BL294" s="178" t="s">
        <v>120</v>
      </c>
      <c r="BM294" s="178" t="s">
        <v>427</v>
      </c>
    </row>
    <row r="295" spans="2:65" s="167" customFormat="1" ht="20.45" customHeight="1" x14ac:dyDescent="0.3">
      <c r="B295" s="168"/>
      <c r="C295" s="346">
        <v>116</v>
      </c>
      <c r="D295" s="346" t="s">
        <v>116</v>
      </c>
      <c r="E295" s="347" t="s">
        <v>428</v>
      </c>
      <c r="F295" s="348" t="s">
        <v>429</v>
      </c>
      <c r="G295" s="348"/>
      <c r="H295" s="348"/>
      <c r="I295" s="348"/>
      <c r="J295" s="349" t="s">
        <v>159</v>
      </c>
      <c r="K295" s="350">
        <v>7</v>
      </c>
      <c r="L295" s="351"/>
      <c r="M295" s="351"/>
      <c r="N295" s="351">
        <f t="shared" si="28"/>
        <v>0</v>
      </c>
      <c r="O295" s="351"/>
      <c r="P295" s="351"/>
      <c r="Q295" s="351"/>
      <c r="R295" s="173"/>
      <c r="T295" s="212" t="s">
        <v>293</v>
      </c>
      <c r="U295" s="213" t="s">
        <v>37</v>
      </c>
      <c r="V295" s="214">
        <v>0.36299999999999999</v>
      </c>
      <c r="W295" s="214">
        <f t="shared" si="29"/>
        <v>2.5409999999999999</v>
      </c>
      <c r="X295" s="214">
        <v>2.0349999999999999E-3</v>
      </c>
      <c r="Y295" s="214">
        <f t="shared" si="30"/>
        <v>1.4244999999999999E-2</v>
      </c>
      <c r="Z295" s="214">
        <v>0</v>
      </c>
      <c r="AA295" s="215">
        <f t="shared" si="31"/>
        <v>0</v>
      </c>
      <c r="AR295" s="178" t="s">
        <v>120</v>
      </c>
      <c r="AT295" s="178" t="s">
        <v>116</v>
      </c>
      <c r="AU295" s="178" t="s">
        <v>82</v>
      </c>
      <c r="AY295" s="178" t="s">
        <v>115</v>
      </c>
      <c r="BE295" s="179">
        <f t="shared" si="32"/>
        <v>0</v>
      </c>
      <c r="BF295" s="179">
        <f t="shared" si="33"/>
        <v>0</v>
      </c>
      <c r="BG295" s="179">
        <f t="shared" si="34"/>
        <v>0</v>
      </c>
      <c r="BH295" s="179">
        <f t="shared" si="35"/>
        <v>0</v>
      </c>
      <c r="BI295" s="179">
        <f t="shared" si="36"/>
        <v>0</v>
      </c>
      <c r="BJ295" s="178" t="s">
        <v>18</v>
      </c>
      <c r="BK295" s="180">
        <f t="shared" si="37"/>
        <v>0</v>
      </c>
      <c r="BL295" s="178" t="s">
        <v>120</v>
      </c>
      <c r="BM295" s="178" t="s">
        <v>430</v>
      </c>
    </row>
    <row r="296" spans="2:65" s="167" customFormat="1" ht="28.9" customHeight="1" x14ac:dyDescent="0.3">
      <c r="B296" s="168"/>
      <c r="C296" s="346">
        <v>117</v>
      </c>
      <c r="D296" s="346" t="s">
        <v>116</v>
      </c>
      <c r="E296" s="347" t="s">
        <v>269</v>
      </c>
      <c r="F296" s="348" t="s">
        <v>431</v>
      </c>
      <c r="G296" s="348"/>
      <c r="H296" s="348"/>
      <c r="I296" s="348"/>
      <c r="J296" s="349" t="s">
        <v>150</v>
      </c>
      <c r="K296" s="350">
        <v>51.5</v>
      </c>
      <c r="L296" s="351"/>
      <c r="M296" s="351"/>
      <c r="N296" s="351">
        <f t="shared" si="28"/>
        <v>0</v>
      </c>
      <c r="O296" s="351"/>
      <c r="P296" s="351"/>
      <c r="Q296" s="351"/>
      <c r="R296" s="173"/>
      <c r="T296" s="212" t="s">
        <v>293</v>
      </c>
      <c r="U296" s="213" t="s">
        <v>37</v>
      </c>
      <c r="V296" s="214">
        <v>5.8999999999999997E-2</v>
      </c>
      <c r="W296" s="214">
        <f t="shared" si="29"/>
        <v>3.0385</v>
      </c>
      <c r="X296" s="214">
        <v>0</v>
      </c>
      <c r="Y296" s="214">
        <f t="shared" si="30"/>
        <v>0</v>
      </c>
      <c r="Z296" s="214">
        <v>0</v>
      </c>
      <c r="AA296" s="215">
        <f t="shared" si="31"/>
        <v>0</v>
      </c>
      <c r="AR296" s="178" t="s">
        <v>120</v>
      </c>
      <c r="AT296" s="178" t="s">
        <v>116</v>
      </c>
      <c r="AU296" s="178" t="s">
        <v>82</v>
      </c>
      <c r="AY296" s="178" t="s">
        <v>115</v>
      </c>
      <c r="BE296" s="179">
        <f t="shared" si="32"/>
        <v>0</v>
      </c>
      <c r="BF296" s="179">
        <f t="shared" si="33"/>
        <v>0</v>
      </c>
      <c r="BG296" s="179">
        <f t="shared" si="34"/>
        <v>0</v>
      </c>
      <c r="BH296" s="179">
        <f t="shared" si="35"/>
        <v>0</v>
      </c>
      <c r="BI296" s="179">
        <f t="shared" si="36"/>
        <v>0</v>
      </c>
      <c r="BJ296" s="178" t="s">
        <v>18</v>
      </c>
      <c r="BK296" s="180">
        <f t="shared" si="37"/>
        <v>0</v>
      </c>
      <c r="BL296" s="178" t="s">
        <v>120</v>
      </c>
      <c r="BM296" s="178" t="s">
        <v>432</v>
      </c>
    </row>
    <row r="297" spans="2:65" s="167" customFormat="1" ht="28.9" customHeight="1" x14ac:dyDescent="0.3">
      <c r="B297" s="168"/>
      <c r="C297" s="346">
        <v>118</v>
      </c>
      <c r="D297" s="346" t="s">
        <v>116</v>
      </c>
      <c r="E297" s="347" t="s">
        <v>268</v>
      </c>
      <c r="F297" s="348" t="s">
        <v>433</v>
      </c>
      <c r="G297" s="348"/>
      <c r="H297" s="348"/>
      <c r="I297" s="348"/>
      <c r="J297" s="349" t="s">
        <v>150</v>
      </c>
      <c r="K297" s="350">
        <v>51.5</v>
      </c>
      <c r="L297" s="351"/>
      <c r="M297" s="351"/>
      <c r="N297" s="351">
        <f t="shared" si="28"/>
        <v>0</v>
      </c>
      <c r="O297" s="351"/>
      <c r="P297" s="351"/>
      <c r="Q297" s="351"/>
      <c r="R297" s="173"/>
      <c r="T297" s="212" t="s">
        <v>293</v>
      </c>
      <c r="U297" s="213" t="s">
        <v>37</v>
      </c>
      <c r="V297" s="214">
        <v>0.25800000000000001</v>
      </c>
      <c r="W297" s="214">
        <f t="shared" si="29"/>
        <v>13.287000000000001</v>
      </c>
      <c r="X297" s="214">
        <v>2.6800000000000001E-3</v>
      </c>
      <c r="Y297" s="214">
        <f t="shared" si="30"/>
        <v>0.13802</v>
      </c>
      <c r="Z297" s="214">
        <v>0</v>
      </c>
      <c r="AA297" s="215">
        <f t="shared" si="31"/>
        <v>0</v>
      </c>
      <c r="AR297" s="178" t="s">
        <v>120</v>
      </c>
      <c r="AT297" s="178" t="s">
        <v>116</v>
      </c>
      <c r="AU297" s="178" t="s">
        <v>82</v>
      </c>
      <c r="AY297" s="178" t="s">
        <v>115</v>
      </c>
      <c r="BE297" s="179">
        <f t="shared" si="32"/>
        <v>0</v>
      </c>
      <c r="BF297" s="179">
        <f t="shared" si="33"/>
        <v>0</v>
      </c>
      <c r="BG297" s="179">
        <f t="shared" si="34"/>
        <v>0</v>
      </c>
      <c r="BH297" s="179">
        <f t="shared" si="35"/>
        <v>0</v>
      </c>
      <c r="BI297" s="179">
        <f t="shared" si="36"/>
        <v>0</v>
      </c>
      <c r="BJ297" s="178" t="s">
        <v>18</v>
      </c>
      <c r="BK297" s="180">
        <f t="shared" si="37"/>
        <v>0</v>
      </c>
      <c r="BL297" s="178" t="s">
        <v>120</v>
      </c>
      <c r="BM297" s="178" t="s">
        <v>434</v>
      </c>
    </row>
    <row r="298" spans="2:65" s="352" customFormat="1" ht="20.45" customHeight="1" x14ac:dyDescent="0.3">
      <c r="B298" s="353"/>
      <c r="C298" s="354"/>
      <c r="D298" s="354"/>
      <c r="E298" s="355" t="s">
        <v>293</v>
      </c>
      <c r="F298" s="356" t="s">
        <v>441</v>
      </c>
      <c r="G298" s="357"/>
      <c r="H298" s="357"/>
      <c r="I298" s="357"/>
      <c r="J298" s="354"/>
      <c r="K298" s="358">
        <v>51.5</v>
      </c>
      <c r="L298" s="354"/>
      <c r="M298" s="354"/>
      <c r="N298" s="354"/>
      <c r="O298" s="354"/>
      <c r="P298" s="354"/>
      <c r="Q298" s="354"/>
      <c r="R298" s="359"/>
      <c r="T298" s="360"/>
      <c r="U298" s="361"/>
      <c r="V298" s="361"/>
      <c r="W298" s="361"/>
      <c r="X298" s="361"/>
      <c r="Y298" s="361"/>
      <c r="Z298" s="361"/>
      <c r="AA298" s="362"/>
      <c r="AT298" s="363" t="s">
        <v>128</v>
      </c>
      <c r="AU298" s="363" t="s">
        <v>82</v>
      </c>
      <c r="AV298" s="352" t="s">
        <v>82</v>
      </c>
      <c r="AW298" s="352" t="s">
        <v>30</v>
      </c>
      <c r="AX298" s="352" t="s">
        <v>18</v>
      </c>
      <c r="AY298" s="363" t="s">
        <v>115</v>
      </c>
    </row>
    <row r="299" spans="2:65" s="6" customFormat="1" ht="15.75" customHeight="1" x14ac:dyDescent="0.3">
      <c r="B299" s="19"/>
      <c r="C299" s="104">
        <v>119</v>
      </c>
      <c r="D299" s="104" t="s">
        <v>116</v>
      </c>
      <c r="E299" s="105" t="s">
        <v>229</v>
      </c>
      <c r="F299" s="286" t="s">
        <v>401</v>
      </c>
      <c r="G299" s="285"/>
      <c r="H299" s="285"/>
      <c r="I299" s="285"/>
      <c r="J299" s="106" t="s">
        <v>159</v>
      </c>
      <c r="K299" s="107">
        <v>7</v>
      </c>
      <c r="L299" s="287"/>
      <c r="M299" s="285"/>
      <c r="N299" s="287">
        <f t="shared" ref="N299:N306" si="38">K299*L299</f>
        <v>0</v>
      </c>
      <c r="O299" s="285"/>
      <c r="P299" s="285"/>
      <c r="Q299" s="285"/>
      <c r="R299" s="20"/>
      <c r="T299" s="108"/>
      <c r="U299" s="26" t="s">
        <v>37</v>
      </c>
      <c r="V299" s="109">
        <v>0.36699999999999999</v>
      </c>
      <c r="W299" s="109">
        <f>$V$299*$K$299</f>
        <v>2.569</v>
      </c>
      <c r="X299" s="109">
        <v>7.9500000000000005E-3</v>
      </c>
      <c r="Y299" s="109">
        <f>$X$299*$K$299</f>
        <v>5.5650000000000005E-2</v>
      </c>
      <c r="Z299" s="109">
        <v>0</v>
      </c>
      <c r="AA299" s="110">
        <f>$Z$299*$K$299</f>
        <v>0</v>
      </c>
      <c r="AC299" s="138"/>
      <c r="AD299" s="138"/>
      <c r="AE299" s="138"/>
      <c r="AF299" s="138"/>
      <c r="AG299" s="138"/>
      <c r="AH299" s="138"/>
      <c r="AI299" s="138"/>
      <c r="AJ299" s="138"/>
      <c r="AR299" s="6" t="s">
        <v>120</v>
      </c>
      <c r="AT299" s="6" t="s">
        <v>116</v>
      </c>
      <c r="AU299" s="6" t="s">
        <v>82</v>
      </c>
      <c r="AY299" s="6" t="s">
        <v>115</v>
      </c>
      <c r="BE299" s="111">
        <f>IF($U$299="základní",$N$299,0)</f>
        <v>0</v>
      </c>
      <c r="BF299" s="111">
        <f>IF($U$299="snížená",$N$299,0)</f>
        <v>0</v>
      </c>
      <c r="BG299" s="111">
        <f>IF($U$299="zákl. přenesená",$N$299,0)</f>
        <v>0</v>
      </c>
      <c r="BH299" s="111">
        <f>IF($U$299="sníž. přenesená",$N$299,0)</f>
        <v>0</v>
      </c>
      <c r="BI299" s="111">
        <f>IF($U$299="nulová",$N$299,0)</f>
        <v>0</v>
      </c>
      <c r="BJ299" s="6" t="s">
        <v>18</v>
      </c>
      <c r="BK299" s="112">
        <f>ROUND($L$299*$K$299,3)</f>
        <v>0</v>
      </c>
      <c r="BL299" s="6" t="s">
        <v>120</v>
      </c>
    </row>
    <row r="300" spans="2:65" s="6" customFormat="1" ht="15.75" customHeight="1" x14ac:dyDescent="0.3">
      <c r="B300" s="19"/>
      <c r="C300" s="104">
        <v>120</v>
      </c>
      <c r="D300" s="104" t="s">
        <v>116</v>
      </c>
      <c r="E300" s="105" t="s">
        <v>230</v>
      </c>
      <c r="F300" s="286" t="s">
        <v>231</v>
      </c>
      <c r="G300" s="285"/>
      <c r="H300" s="285"/>
      <c r="I300" s="285"/>
      <c r="J300" s="106" t="s">
        <v>159</v>
      </c>
      <c r="K300" s="107">
        <v>7</v>
      </c>
      <c r="L300" s="287"/>
      <c r="M300" s="285"/>
      <c r="N300" s="287">
        <f t="shared" si="38"/>
        <v>0</v>
      </c>
      <c r="O300" s="285"/>
      <c r="P300" s="285"/>
      <c r="Q300" s="285"/>
      <c r="R300" s="20"/>
      <c r="T300" s="108"/>
      <c r="U300" s="26" t="s">
        <v>37</v>
      </c>
      <c r="V300" s="109">
        <v>7.27</v>
      </c>
      <c r="W300" s="109">
        <f>$V$300*$K$300</f>
        <v>50.89</v>
      </c>
      <c r="X300" s="109">
        <v>0.24993000000000001</v>
      </c>
      <c r="Y300" s="109">
        <f>$X$300*$K$300</f>
        <v>1.7495100000000001</v>
      </c>
      <c r="Z300" s="109">
        <v>0</v>
      </c>
      <c r="AA300" s="110">
        <f>$Z$300*$K$300</f>
        <v>0</v>
      </c>
      <c r="AC300" s="138"/>
      <c r="AD300" s="138"/>
      <c r="AE300" s="138"/>
      <c r="AF300" s="138"/>
      <c r="AG300" s="138"/>
      <c r="AH300" s="138"/>
      <c r="AI300" s="138"/>
      <c r="AJ300" s="138"/>
      <c r="AR300" s="6" t="s">
        <v>120</v>
      </c>
      <c r="AT300" s="6" t="s">
        <v>116</v>
      </c>
      <c r="AU300" s="6" t="s">
        <v>82</v>
      </c>
      <c r="AY300" s="6" t="s">
        <v>115</v>
      </c>
      <c r="BE300" s="111">
        <f>IF($U$300="základní",$N$300,0)</f>
        <v>0</v>
      </c>
      <c r="BF300" s="111">
        <f>IF($U$300="snížená",$N$300,0)</f>
        <v>0</v>
      </c>
      <c r="BG300" s="111">
        <f>IF($U$300="zákl. přenesená",$N$300,0)</f>
        <v>0</v>
      </c>
      <c r="BH300" s="111">
        <f>IF($U$300="sníž. přenesená",$N$300,0)</f>
        <v>0</v>
      </c>
      <c r="BI300" s="111">
        <f>IF($U$300="nulová",$N$300,0)</f>
        <v>0</v>
      </c>
      <c r="BJ300" s="6" t="s">
        <v>18</v>
      </c>
      <c r="BK300" s="112">
        <f>ROUND($L$300*$K$300,3)</f>
        <v>0</v>
      </c>
      <c r="BL300" s="6" t="s">
        <v>120</v>
      </c>
    </row>
    <row r="301" spans="2:65" s="6" customFormat="1" ht="27" customHeight="1" x14ac:dyDescent="0.3">
      <c r="B301" s="19"/>
      <c r="C301" s="125">
        <v>121</v>
      </c>
      <c r="D301" s="125" t="s">
        <v>180</v>
      </c>
      <c r="E301" s="126" t="s">
        <v>232</v>
      </c>
      <c r="F301" s="282" t="s">
        <v>233</v>
      </c>
      <c r="G301" s="283"/>
      <c r="H301" s="283"/>
      <c r="I301" s="283"/>
      <c r="J301" s="127" t="s">
        <v>159</v>
      </c>
      <c r="K301" s="128">
        <v>7</v>
      </c>
      <c r="L301" s="284"/>
      <c r="M301" s="283"/>
      <c r="N301" s="284">
        <f t="shared" si="38"/>
        <v>0</v>
      </c>
      <c r="O301" s="285"/>
      <c r="P301" s="285"/>
      <c r="Q301" s="285"/>
      <c r="R301" s="20"/>
      <c r="T301" s="108"/>
      <c r="U301" s="26" t="s">
        <v>37</v>
      </c>
      <c r="V301" s="109">
        <v>0</v>
      </c>
      <c r="W301" s="109">
        <f>$V$301*$K$301</f>
        <v>0</v>
      </c>
      <c r="X301" s="109">
        <v>6.0000000000000001E-3</v>
      </c>
      <c r="Y301" s="109">
        <f>$X$301*$K$301</f>
        <v>4.2000000000000003E-2</v>
      </c>
      <c r="Z301" s="109">
        <v>0</v>
      </c>
      <c r="AA301" s="110">
        <f>$Z$301*$K$301</f>
        <v>0</v>
      </c>
      <c r="AC301" s="138"/>
      <c r="AD301" s="138"/>
      <c r="AE301" s="138"/>
      <c r="AF301" s="138"/>
      <c r="AG301" s="138"/>
      <c r="AH301" s="138"/>
      <c r="AI301" s="138"/>
      <c r="AJ301" s="138"/>
      <c r="AR301" s="6" t="s">
        <v>139</v>
      </c>
      <c r="AT301" s="6" t="s">
        <v>180</v>
      </c>
      <c r="AU301" s="6" t="s">
        <v>82</v>
      </c>
      <c r="AY301" s="6" t="s">
        <v>115</v>
      </c>
      <c r="BE301" s="111">
        <f>IF($U$301="základní",$N$301,0)</f>
        <v>0</v>
      </c>
      <c r="BF301" s="111">
        <f>IF($U$301="snížená",$N$301,0)</f>
        <v>0</v>
      </c>
      <c r="BG301" s="111">
        <f>IF($U$301="zákl. přenesená",$N$301,0)</f>
        <v>0</v>
      </c>
      <c r="BH301" s="111">
        <f>IF($U$301="sníž. přenesená",$N$301,0)</f>
        <v>0</v>
      </c>
      <c r="BI301" s="111">
        <f>IF($U$301="nulová",$N$301,0)</f>
        <v>0</v>
      </c>
      <c r="BJ301" s="6" t="s">
        <v>18</v>
      </c>
      <c r="BK301" s="112">
        <f>ROUND($L$301*$K$301,3)</f>
        <v>0</v>
      </c>
      <c r="BL301" s="6" t="s">
        <v>120</v>
      </c>
    </row>
    <row r="302" spans="2:65" s="6" customFormat="1" ht="15.75" customHeight="1" x14ac:dyDescent="0.3">
      <c r="B302" s="19"/>
      <c r="C302" s="125">
        <v>122</v>
      </c>
      <c r="D302" s="125" t="s">
        <v>180</v>
      </c>
      <c r="E302" s="126" t="s">
        <v>234</v>
      </c>
      <c r="F302" s="282" t="s">
        <v>235</v>
      </c>
      <c r="G302" s="283"/>
      <c r="H302" s="283"/>
      <c r="I302" s="283"/>
      <c r="J302" s="127" t="s">
        <v>159</v>
      </c>
      <c r="K302" s="128">
        <v>7</v>
      </c>
      <c r="L302" s="284"/>
      <c r="M302" s="283"/>
      <c r="N302" s="284">
        <f t="shared" si="38"/>
        <v>0</v>
      </c>
      <c r="O302" s="285"/>
      <c r="P302" s="285"/>
      <c r="Q302" s="285"/>
      <c r="R302" s="20"/>
      <c r="T302" s="108"/>
      <c r="U302" s="26" t="s">
        <v>37</v>
      </c>
      <c r="V302" s="109">
        <v>0</v>
      </c>
      <c r="W302" s="109">
        <f>$V$302*$K$302</f>
        <v>0</v>
      </c>
      <c r="X302" s="109">
        <v>0.06</v>
      </c>
      <c r="Y302" s="109">
        <f>$X$302*$K$302</f>
        <v>0.42</v>
      </c>
      <c r="Z302" s="109">
        <v>0</v>
      </c>
      <c r="AA302" s="110">
        <f>$Z$302*$K$302</f>
        <v>0</v>
      </c>
      <c r="AC302" s="138"/>
      <c r="AD302" s="138"/>
      <c r="AE302" s="138"/>
      <c r="AF302" s="138"/>
      <c r="AG302" s="138"/>
      <c r="AH302" s="138"/>
      <c r="AI302" s="138"/>
      <c r="AJ302" s="138"/>
      <c r="AR302" s="6" t="s">
        <v>139</v>
      </c>
      <c r="AT302" s="6" t="s">
        <v>180</v>
      </c>
      <c r="AU302" s="6" t="s">
        <v>82</v>
      </c>
      <c r="AY302" s="6" t="s">
        <v>115</v>
      </c>
      <c r="BE302" s="111">
        <f>IF($U$302="základní",$N$302,0)</f>
        <v>0</v>
      </c>
      <c r="BF302" s="111">
        <f>IF($U$302="snížená",$N$302,0)</f>
        <v>0</v>
      </c>
      <c r="BG302" s="111">
        <f>IF($U$302="zákl. přenesená",$N$302,0)</f>
        <v>0</v>
      </c>
      <c r="BH302" s="111">
        <f>IF($U$302="sníž. přenesená",$N$302,0)</f>
        <v>0</v>
      </c>
      <c r="BI302" s="111">
        <f>IF($U$302="nulová",$N$302,0)</f>
        <v>0</v>
      </c>
      <c r="BJ302" s="6" t="s">
        <v>18</v>
      </c>
      <c r="BK302" s="112">
        <f>ROUND($L$302*$K$302,3)</f>
        <v>0</v>
      </c>
      <c r="BL302" s="6" t="s">
        <v>120</v>
      </c>
    </row>
    <row r="303" spans="2:65" s="167" customFormat="1" ht="40.15" customHeight="1" x14ac:dyDescent="0.3">
      <c r="B303" s="168"/>
      <c r="C303" s="208">
        <v>123</v>
      </c>
      <c r="D303" s="208" t="s">
        <v>180</v>
      </c>
      <c r="E303" s="209" t="s">
        <v>379</v>
      </c>
      <c r="F303" s="322" t="s">
        <v>381</v>
      </c>
      <c r="G303" s="322"/>
      <c r="H303" s="322"/>
      <c r="I303" s="322"/>
      <c r="J303" s="210" t="s">
        <v>159</v>
      </c>
      <c r="K303" s="233">
        <v>7</v>
      </c>
      <c r="L303" s="321"/>
      <c r="M303" s="321"/>
      <c r="N303" s="321">
        <f>K303*L303</f>
        <v>0</v>
      </c>
      <c r="O303" s="298"/>
      <c r="P303" s="298"/>
      <c r="Q303" s="298"/>
      <c r="R303" s="173"/>
      <c r="T303" s="212" t="s">
        <v>293</v>
      </c>
      <c r="U303" s="213" t="s">
        <v>37</v>
      </c>
      <c r="V303" s="214">
        <v>0</v>
      </c>
      <c r="W303" s="214">
        <f t="shared" ref="W303" si="39">V303*K303</f>
        <v>0</v>
      </c>
      <c r="X303" s="214">
        <v>9.7000000000000003E-2</v>
      </c>
      <c r="Y303" s="214">
        <f t="shared" ref="Y303" si="40">X303*K303</f>
        <v>0.67900000000000005</v>
      </c>
      <c r="Z303" s="214">
        <v>0</v>
      </c>
      <c r="AA303" s="215">
        <f t="shared" ref="AA303" si="41">Z303*K303</f>
        <v>0</v>
      </c>
      <c r="AR303" s="178" t="s">
        <v>139</v>
      </c>
      <c r="AT303" s="178" t="s">
        <v>180</v>
      </c>
      <c r="AU303" s="178" t="s">
        <v>82</v>
      </c>
      <c r="AY303" s="178" t="s">
        <v>115</v>
      </c>
      <c r="BE303" s="179">
        <f t="shared" ref="BE303" si="42">IF(U303="základní",N303,0)</f>
        <v>0</v>
      </c>
      <c r="BF303" s="179">
        <f t="shared" ref="BF303" si="43">IF(U303="snížená",N303,0)</f>
        <v>0</v>
      </c>
      <c r="BG303" s="179">
        <f t="shared" ref="BG303" si="44">IF(U303="zákl. přenesená",N303,0)</f>
        <v>0</v>
      </c>
      <c r="BH303" s="179">
        <f t="shared" ref="BH303" si="45">IF(U303="sníž. přenesená",N303,0)</f>
        <v>0</v>
      </c>
      <c r="BI303" s="179">
        <f t="shared" ref="BI303" si="46">IF(U303="nulová",N303,0)</f>
        <v>0</v>
      </c>
      <c r="BJ303" s="178" t="s">
        <v>18</v>
      </c>
      <c r="BK303" s="180">
        <f t="shared" ref="BK303" si="47">ROUND(L303*K303,3)</f>
        <v>0</v>
      </c>
      <c r="BL303" s="178" t="s">
        <v>120</v>
      </c>
      <c r="BM303" s="178" t="s">
        <v>380</v>
      </c>
    </row>
    <row r="304" spans="2:65" s="231" customFormat="1" ht="15.75" customHeight="1" x14ac:dyDescent="0.3">
      <c r="B304" s="19"/>
      <c r="C304" s="125">
        <v>124</v>
      </c>
      <c r="D304" s="125" t="s">
        <v>180</v>
      </c>
      <c r="E304" s="126" t="s">
        <v>236</v>
      </c>
      <c r="F304" s="282" t="s">
        <v>382</v>
      </c>
      <c r="G304" s="283"/>
      <c r="H304" s="283"/>
      <c r="I304" s="283"/>
      <c r="J304" s="127" t="s">
        <v>159</v>
      </c>
      <c r="K304" s="232">
        <v>7</v>
      </c>
      <c r="L304" s="284"/>
      <c r="M304" s="283"/>
      <c r="N304" s="284">
        <f t="shared" ref="N304" si="48">K304*L304</f>
        <v>0</v>
      </c>
      <c r="O304" s="285"/>
      <c r="P304" s="285"/>
      <c r="Q304" s="285"/>
      <c r="R304" s="20"/>
      <c r="T304" s="108"/>
      <c r="U304" s="26" t="s">
        <v>37</v>
      </c>
      <c r="V304" s="109">
        <v>0</v>
      </c>
      <c r="W304" s="109">
        <f>$V$305*$K$305</f>
        <v>0</v>
      </c>
      <c r="X304" s="109">
        <v>5.8000000000000003E-2</v>
      </c>
      <c r="Y304" s="109">
        <f>$X$305*$K$305</f>
        <v>0.40600000000000003</v>
      </c>
      <c r="Z304" s="109">
        <v>0</v>
      </c>
      <c r="AA304" s="110">
        <f>$Z$305*$K$305</f>
        <v>0</v>
      </c>
      <c r="AC304" s="138"/>
      <c r="AD304" s="138"/>
      <c r="AE304" s="138"/>
      <c r="AF304" s="138"/>
      <c r="AG304" s="138"/>
      <c r="AH304" s="138"/>
      <c r="AI304" s="138"/>
      <c r="AJ304" s="138"/>
      <c r="AR304" s="231" t="s">
        <v>139</v>
      </c>
      <c r="AT304" s="231" t="s">
        <v>180</v>
      </c>
      <c r="AU304" s="231" t="s">
        <v>82</v>
      </c>
      <c r="AY304" s="231" t="s">
        <v>115</v>
      </c>
      <c r="BE304" s="111">
        <f>IF($U$305="základní",$N$305,0)</f>
        <v>0</v>
      </c>
      <c r="BF304" s="111">
        <f>IF($U$305="snížená",$N$305,0)</f>
        <v>0</v>
      </c>
      <c r="BG304" s="111">
        <f>IF($U$305="zákl. přenesená",$N$305,0)</f>
        <v>0</v>
      </c>
      <c r="BH304" s="111">
        <f>IF($U$305="sníž. přenesená",$N$305,0)</f>
        <v>0</v>
      </c>
      <c r="BI304" s="111">
        <f>IF($U$305="nulová",$N$305,0)</f>
        <v>0</v>
      </c>
      <c r="BJ304" s="231" t="s">
        <v>18</v>
      </c>
      <c r="BK304" s="112">
        <f>ROUND($L$305*$K$305,3)</f>
        <v>0</v>
      </c>
      <c r="BL304" s="231" t="s">
        <v>120</v>
      </c>
    </row>
    <row r="305" spans="2:65" s="6" customFormat="1" ht="15.75" customHeight="1" x14ac:dyDescent="0.3">
      <c r="B305" s="19"/>
      <c r="C305" s="125">
        <v>125</v>
      </c>
      <c r="D305" s="125" t="s">
        <v>180</v>
      </c>
      <c r="E305" s="126" t="s">
        <v>236</v>
      </c>
      <c r="F305" s="282" t="s">
        <v>237</v>
      </c>
      <c r="G305" s="283"/>
      <c r="H305" s="283"/>
      <c r="I305" s="283"/>
      <c r="J305" s="127" t="s">
        <v>159</v>
      </c>
      <c r="K305" s="128">
        <v>7</v>
      </c>
      <c r="L305" s="284"/>
      <c r="M305" s="283"/>
      <c r="N305" s="284">
        <f t="shared" si="38"/>
        <v>0</v>
      </c>
      <c r="O305" s="285"/>
      <c r="P305" s="285"/>
      <c r="Q305" s="285"/>
      <c r="R305" s="20"/>
      <c r="T305" s="108"/>
      <c r="U305" s="26" t="s">
        <v>37</v>
      </c>
      <c r="V305" s="109">
        <v>0</v>
      </c>
      <c r="W305" s="109">
        <f>$V$305*$K$305</f>
        <v>0</v>
      </c>
      <c r="X305" s="109">
        <v>5.8000000000000003E-2</v>
      </c>
      <c r="Y305" s="109">
        <f>$X$305*$K$305</f>
        <v>0.40600000000000003</v>
      </c>
      <c r="Z305" s="109">
        <v>0</v>
      </c>
      <c r="AA305" s="110">
        <f>$Z$305*$K$305</f>
        <v>0</v>
      </c>
      <c r="AC305" s="138"/>
      <c r="AD305" s="138"/>
      <c r="AE305" s="138"/>
      <c r="AF305" s="138"/>
      <c r="AG305" s="138"/>
      <c r="AH305" s="138"/>
      <c r="AI305" s="138"/>
      <c r="AJ305" s="138"/>
      <c r="AR305" s="6" t="s">
        <v>139</v>
      </c>
      <c r="AT305" s="6" t="s">
        <v>180</v>
      </c>
      <c r="AU305" s="6" t="s">
        <v>82</v>
      </c>
      <c r="AY305" s="6" t="s">
        <v>115</v>
      </c>
      <c r="BE305" s="111">
        <f>IF($U$305="základní",$N$305,0)</f>
        <v>0</v>
      </c>
      <c r="BF305" s="111">
        <f>IF($U$305="snížená",$N$305,0)</f>
        <v>0</v>
      </c>
      <c r="BG305" s="111">
        <f>IF($U$305="zákl. přenesená",$N$305,0)</f>
        <v>0</v>
      </c>
      <c r="BH305" s="111">
        <f>IF($U$305="sníž. přenesená",$N$305,0)</f>
        <v>0</v>
      </c>
      <c r="BI305" s="111">
        <f>IF($U$305="nulová",$N$305,0)</f>
        <v>0</v>
      </c>
      <c r="BJ305" s="6" t="s">
        <v>18</v>
      </c>
      <c r="BK305" s="112">
        <f>ROUND($L$305*$K$305,3)</f>
        <v>0</v>
      </c>
      <c r="BL305" s="6" t="s">
        <v>120</v>
      </c>
    </row>
    <row r="306" spans="2:65" s="6" customFormat="1" ht="27" customHeight="1" x14ac:dyDescent="0.3">
      <c r="B306" s="19"/>
      <c r="C306" s="104">
        <v>126</v>
      </c>
      <c r="D306" s="104" t="s">
        <v>116</v>
      </c>
      <c r="E306" s="105" t="s">
        <v>227</v>
      </c>
      <c r="F306" s="286" t="s">
        <v>228</v>
      </c>
      <c r="G306" s="285"/>
      <c r="H306" s="285"/>
      <c r="I306" s="285"/>
      <c r="J306" s="106" t="s">
        <v>162</v>
      </c>
      <c r="K306" s="107">
        <v>8.2360000000000007</v>
      </c>
      <c r="L306" s="287"/>
      <c r="M306" s="285"/>
      <c r="N306" s="287">
        <f t="shared" si="38"/>
        <v>0</v>
      </c>
      <c r="O306" s="285"/>
      <c r="P306" s="285"/>
      <c r="Q306" s="285"/>
      <c r="R306" s="20"/>
      <c r="T306" s="108"/>
      <c r="U306" s="26" t="s">
        <v>37</v>
      </c>
      <c r="V306" s="109">
        <v>0.69899999999999995</v>
      </c>
      <c r="W306" s="109">
        <f>$V$306*$K$306</f>
        <v>5.756964</v>
      </c>
      <c r="X306" s="109">
        <v>0</v>
      </c>
      <c r="Y306" s="109">
        <f>$X$306*$K$306</f>
        <v>0</v>
      </c>
      <c r="Z306" s="109">
        <v>0</v>
      </c>
      <c r="AA306" s="110">
        <f>$Z$306*$K$306</f>
        <v>0</v>
      </c>
      <c r="AC306" s="138"/>
      <c r="AD306" s="138"/>
      <c r="AE306" s="138"/>
      <c r="AF306" s="138"/>
      <c r="AG306" s="138"/>
      <c r="AH306" s="138"/>
      <c r="AI306" s="138"/>
      <c r="AJ306" s="138"/>
      <c r="AR306" s="6" t="s">
        <v>120</v>
      </c>
      <c r="AT306" s="6" t="s">
        <v>116</v>
      </c>
      <c r="AU306" s="6" t="s">
        <v>82</v>
      </c>
      <c r="AY306" s="6" t="s">
        <v>115</v>
      </c>
      <c r="BE306" s="111">
        <f>IF($U$306="základní",$N$306,0)</f>
        <v>0</v>
      </c>
      <c r="BF306" s="111">
        <f>IF($U$306="snížená",$N$306,0)</f>
        <v>0</v>
      </c>
      <c r="BG306" s="111">
        <f>IF($U$306="zákl. přenesená",$N$306,0)</f>
        <v>0</v>
      </c>
      <c r="BH306" s="111">
        <f>IF($U$306="sníž. přenesená",$N$306,0)</f>
        <v>0</v>
      </c>
      <c r="BI306" s="111">
        <f>IF($U$306="nulová",$N$306,0)</f>
        <v>0</v>
      </c>
      <c r="BJ306" s="6" t="s">
        <v>18</v>
      </c>
      <c r="BK306" s="112">
        <f>ROUND($L$306*$K$306,3)</f>
        <v>0</v>
      </c>
      <c r="BL306" s="6" t="s">
        <v>120</v>
      </c>
    </row>
    <row r="307" spans="2:65" s="94" customFormat="1" ht="30.75" customHeight="1" x14ac:dyDescent="0.3">
      <c r="B307" s="95"/>
      <c r="D307" s="103" t="s">
        <v>97</v>
      </c>
      <c r="N307" s="300">
        <f>SUM(N308:Q316)</f>
        <v>0</v>
      </c>
      <c r="O307" s="301"/>
      <c r="P307" s="301"/>
      <c r="Q307" s="301"/>
      <c r="R307" s="98"/>
      <c r="T307" s="99"/>
      <c r="W307" s="100">
        <f>SUM($W$308:$W$316)</f>
        <v>69.189579999999992</v>
      </c>
      <c r="Y307" s="100">
        <f>SUM($Y$308:$Y$316)</f>
        <v>7.7070999999999987</v>
      </c>
      <c r="AA307" s="101">
        <f>SUM($AA$308:$AA$316)</f>
        <v>0</v>
      </c>
      <c r="AC307" s="140"/>
      <c r="AD307" s="140"/>
      <c r="AE307" s="140"/>
      <c r="AF307" s="140"/>
      <c r="AG307" s="140"/>
      <c r="AH307" s="140"/>
      <c r="AI307" s="140"/>
      <c r="AJ307" s="140"/>
      <c r="AR307" s="97" t="s">
        <v>18</v>
      </c>
      <c r="AT307" s="97" t="s">
        <v>71</v>
      </c>
      <c r="AU307" s="97" t="s">
        <v>18</v>
      </c>
      <c r="AY307" s="97" t="s">
        <v>115</v>
      </c>
      <c r="BK307" s="102">
        <f>SUM($BK$308:$BK$316)</f>
        <v>0</v>
      </c>
    </row>
    <row r="308" spans="2:65" s="6" customFormat="1" ht="27" customHeight="1" x14ac:dyDescent="0.3">
      <c r="B308" s="19"/>
      <c r="C308" s="104">
        <v>127</v>
      </c>
      <c r="D308" s="104" t="s">
        <v>116</v>
      </c>
      <c r="E308" s="105" t="s">
        <v>238</v>
      </c>
      <c r="F308" s="286" t="s">
        <v>389</v>
      </c>
      <c r="G308" s="285"/>
      <c r="H308" s="285"/>
      <c r="I308" s="285"/>
      <c r="J308" s="106" t="s">
        <v>150</v>
      </c>
      <c r="K308" s="107">
        <v>150</v>
      </c>
      <c r="L308" s="287"/>
      <c r="M308" s="285"/>
      <c r="N308" s="287">
        <f t="shared" ref="N308:N315" si="49">K308*L308</f>
        <v>0</v>
      </c>
      <c r="O308" s="285"/>
      <c r="P308" s="285"/>
      <c r="Q308" s="285"/>
      <c r="R308" s="20"/>
      <c r="T308" s="108"/>
      <c r="U308" s="26" t="s">
        <v>37</v>
      </c>
      <c r="V308" s="109">
        <v>0.39</v>
      </c>
      <c r="W308" s="109">
        <f>$V$308*$K$308</f>
        <v>58.5</v>
      </c>
      <c r="X308" s="109">
        <v>1.8350000000000002E-2</v>
      </c>
      <c r="Y308" s="109">
        <f>$X$308*$K$308</f>
        <v>2.7525000000000004</v>
      </c>
      <c r="Z308" s="109">
        <v>0</v>
      </c>
      <c r="AA308" s="110">
        <f>$Z$308*$K$308</f>
        <v>0</v>
      </c>
      <c r="AC308" s="138"/>
      <c r="AD308" s="138"/>
      <c r="AE308" s="138"/>
      <c r="AF308" s="138"/>
      <c r="AG308" s="138"/>
      <c r="AH308" s="138"/>
      <c r="AI308" s="138"/>
      <c r="AJ308" s="138"/>
      <c r="AR308" s="6" t="s">
        <v>120</v>
      </c>
      <c r="AT308" s="6" t="s">
        <v>116</v>
      </c>
      <c r="AU308" s="6" t="s">
        <v>82</v>
      </c>
      <c r="AY308" s="6" t="s">
        <v>115</v>
      </c>
      <c r="BE308" s="111">
        <f>IF($U$308="základní",$N$308,0)</f>
        <v>0</v>
      </c>
      <c r="BF308" s="111">
        <f>IF($U$308="snížená",$N$308,0)</f>
        <v>0</v>
      </c>
      <c r="BG308" s="111">
        <f>IF($U$308="zákl. přenesená",$N$308,0)</f>
        <v>0</v>
      </c>
      <c r="BH308" s="111">
        <f>IF($U$308="sníž. přenesená",$N$308,0)</f>
        <v>0</v>
      </c>
      <c r="BI308" s="111">
        <f>IF($U$308="nulová",$N$308,0)</f>
        <v>0</v>
      </c>
      <c r="BJ308" s="6" t="s">
        <v>18</v>
      </c>
      <c r="BK308" s="112">
        <f>ROUND($L$308*$K$308,3)</f>
        <v>0</v>
      </c>
      <c r="BL308" s="6" t="s">
        <v>120</v>
      </c>
    </row>
    <row r="309" spans="2:65" s="6" customFormat="1" ht="27" customHeight="1" x14ac:dyDescent="0.3">
      <c r="B309" s="19"/>
      <c r="C309" s="125">
        <v>128</v>
      </c>
      <c r="D309" s="125" t="s">
        <v>180</v>
      </c>
      <c r="E309" s="126" t="s">
        <v>396</v>
      </c>
      <c r="F309" s="282" t="s">
        <v>390</v>
      </c>
      <c r="G309" s="283"/>
      <c r="H309" s="283"/>
      <c r="I309" s="283"/>
      <c r="J309" s="127" t="s">
        <v>150</v>
      </c>
      <c r="K309" s="128">
        <v>150</v>
      </c>
      <c r="L309" s="284"/>
      <c r="M309" s="283"/>
      <c r="N309" s="284">
        <f t="shared" si="49"/>
        <v>0</v>
      </c>
      <c r="O309" s="285"/>
      <c r="P309" s="285"/>
      <c r="Q309" s="285"/>
      <c r="R309" s="20"/>
      <c r="T309" s="108"/>
      <c r="U309" s="26" t="s">
        <v>37</v>
      </c>
      <c r="V309" s="109">
        <v>0</v>
      </c>
      <c r="W309" s="109">
        <f>$V$309*$K$309</f>
        <v>0</v>
      </c>
      <c r="X309" s="109">
        <v>3.2000000000000001E-2</v>
      </c>
      <c r="Y309" s="109">
        <f>$X$309*$K$309</f>
        <v>4.8</v>
      </c>
      <c r="Z309" s="109">
        <v>0</v>
      </c>
      <c r="AA309" s="110">
        <f>$Z$309*$K$309</f>
        <v>0</v>
      </c>
      <c r="AC309" s="138"/>
      <c r="AD309" s="138"/>
      <c r="AE309" s="138"/>
      <c r="AF309" s="138"/>
      <c r="AG309" s="138"/>
      <c r="AH309" s="138"/>
      <c r="AI309" s="138"/>
      <c r="AJ309" s="138"/>
      <c r="AR309" s="6" t="s">
        <v>203</v>
      </c>
      <c r="AT309" s="6" t="s">
        <v>180</v>
      </c>
      <c r="AU309" s="6" t="s">
        <v>82</v>
      </c>
      <c r="AY309" s="6" t="s">
        <v>115</v>
      </c>
      <c r="BE309" s="111">
        <f>IF($U$309="základní",$N$309,0)</f>
        <v>0</v>
      </c>
      <c r="BF309" s="111">
        <f>IF($U$309="snížená",$N$309,0)</f>
        <v>0</v>
      </c>
      <c r="BG309" s="111">
        <f>IF($U$309="zákl. přenesená",$N$309,0)</f>
        <v>0</v>
      </c>
      <c r="BH309" s="111">
        <f>IF($U$309="sníž. přenesená",$N$309,0)</f>
        <v>0</v>
      </c>
      <c r="BI309" s="111">
        <f>IF($U$309="nulová",$N$309,0)</f>
        <v>0</v>
      </c>
      <c r="BJ309" s="6" t="s">
        <v>18</v>
      </c>
      <c r="BK309" s="112">
        <f>ROUND($L$309*$K$309,3)</f>
        <v>0</v>
      </c>
      <c r="BL309" s="6" t="s">
        <v>203</v>
      </c>
    </row>
    <row r="310" spans="2:65" s="6" customFormat="1" ht="15.75" customHeight="1" x14ac:dyDescent="0.3">
      <c r="B310" s="19"/>
      <c r="C310" s="125">
        <v>129</v>
      </c>
      <c r="D310" s="125" t="s">
        <v>180</v>
      </c>
      <c r="E310" s="126" t="s">
        <v>397</v>
      </c>
      <c r="F310" s="282" t="s">
        <v>391</v>
      </c>
      <c r="G310" s="283"/>
      <c r="H310" s="283"/>
      <c r="I310" s="283"/>
      <c r="J310" s="127" t="s">
        <v>159</v>
      </c>
      <c r="K310" s="128">
        <v>5</v>
      </c>
      <c r="L310" s="284"/>
      <c r="M310" s="283"/>
      <c r="N310" s="284">
        <f t="shared" si="49"/>
        <v>0</v>
      </c>
      <c r="O310" s="285"/>
      <c r="P310" s="285"/>
      <c r="Q310" s="285"/>
      <c r="R310" s="20"/>
      <c r="T310" s="108"/>
      <c r="U310" s="26" t="s">
        <v>37</v>
      </c>
      <c r="V310" s="109">
        <v>0</v>
      </c>
      <c r="W310" s="109">
        <f>$V$310*$K$310</f>
        <v>0</v>
      </c>
      <c r="X310" s="109">
        <v>6.7999999999999996E-3</v>
      </c>
      <c r="Y310" s="109">
        <f>$X$310*$K$310</f>
        <v>3.3999999999999996E-2</v>
      </c>
      <c r="Z310" s="109">
        <v>0</v>
      </c>
      <c r="AA310" s="110">
        <f>$Z$310*$K$310</f>
        <v>0</v>
      </c>
      <c r="AC310" s="138"/>
      <c r="AD310" s="138"/>
      <c r="AE310" s="138"/>
      <c r="AF310" s="138"/>
      <c r="AG310" s="138"/>
      <c r="AH310" s="138"/>
      <c r="AI310" s="138"/>
      <c r="AJ310" s="138"/>
      <c r="AR310" s="6" t="s">
        <v>203</v>
      </c>
      <c r="AT310" s="6" t="s">
        <v>180</v>
      </c>
      <c r="AU310" s="6" t="s">
        <v>82</v>
      </c>
      <c r="AY310" s="6" t="s">
        <v>115</v>
      </c>
      <c r="BE310" s="111">
        <f>IF($U$310="základní",$N$310,0)</f>
        <v>0</v>
      </c>
      <c r="BF310" s="111">
        <f>IF($U$310="snížená",$N$310,0)</f>
        <v>0</v>
      </c>
      <c r="BG310" s="111">
        <f>IF($U$310="zákl. přenesená",$N$310,0)</f>
        <v>0</v>
      </c>
      <c r="BH310" s="111">
        <f>IF($U$310="sníž. přenesená",$N$310,0)</f>
        <v>0</v>
      </c>
      <c r="BI310" s="111">
        <f>IF($U$310="nulová",$N$310,0)</f>
        <v>0</v>
      </c>
      <c r="BJ310" s="6" t="s">
        <v>18</v>
      </c>
      <c r="BK310" s="112">
        <f>ROUND($L$310*$K$310,3)</f>
        <v>0</v>
      </c>
      <c r="BL310" s="6" t="s">
        <v>203</v>
      </c>
    </row>
    <row r="311" spans="2:65" s="243" customFormat="1" ht="15.75" customHeight="1" x14ac:dyDescent="0.3">
      <c r="B311" s="19"/>
      <c r="C311" s="125">
        <v>130</v>
      </c>
      <c r="D311" s="125" t="s">
        <v>180</v>
      </c>
      <c r="E311" s="126" t="s">
        <v>398</v>
      </c>
      <c r="F311" s="282" t="s">
        <v>392</v>
      </c>
      <c r="G311" s="283"/>
      <c r="H311" s="283"/>
      <c r="I311" s="283"/>
      <c r="J311" s="127" t="s">
        <v>159</v>
      </c>
      <c r="K311" s="245">
        <v>10</v>
      </c>
      <c r="L311" s="284"/>
      <c r="M311" s="283"/>
      <c r="N311" s="284">
        <f t="shared" si="49"/>
        <v>0</v>
      </c>
      <c r="O311" s="285"/>
      <c r="P311" s="285"/>
      <c r="Q311" s="285"/>
      <c r="R311" s="20"/>
      <c r="T311" s="108"/>
      <c r="U311" s="26" t="s">
        <v>37</v>
      </c>
      <c r="V311" s="109">
        <v>0</v>
      </c>
      <c r="W311" s="109">
        <f>$V$310*$K$310</f>
        <v>0</v>
      </c>
      <c r="X311" s="109">
        <v>6.7999999999999996E-3</v>
      </c>
      <c r="Y311" s="109">
        <f>$X$310*$K$310</f>
        <v>3.3999999999999996E-2</v>
      </c>
      <c r="Z311" s="109">
        <v>0</v>
      </c>
      <c r="AA311" s="110">
        <f>$Z$310*$K$310</f>
        <v>0</v>
      </c>
      <c r="AC311" s="138"/>
      <c r="AD311" s="138"/>
      <c r="AE311" s="138"/>
      <c r="AF311" s="138"/>
      <c r="AG311" s="138"/>
      <c r="AH311" s="138"/>
      <c r="AI311" s="138"/>
      <c r="AJ311" s="138"/>
      <c r="AR311" s="243" t="s">
        <v>203</v>
      </c>
      <c r="AT311" s="243" t="s">
        <v>180</v>
      </c>
      <c r="AU311" s="243" t="s">
        <v>82</v>
      </c>
      <c r="AY311" s="243" t="s">
        <v>115</v>
      </c>
      <c r="BE311" s="111">
        <f>IF($U$310="základní",$N$310,0)</f>
        <v>0</v>
      </c>
      <c r="BF311" s="111">
        <f>IF($U$310="snížená",$N$310,0)</f>
        <v>0</v>
      </c>
      <c r="BG311" s="111">
        <f>IF($U$310="zákl. přenesená",$N$310,0)</f>
        <v>0</v>
      </c>
      <c r="BH311" s="111">
        <f>IF($U$310="sníž. přenesená",$N$310,0)</f>
        <v>0</v>
      </c>
      <c r="BI311" s="111">
        <f>IF($U$310="nulová",$N$310,0)</f>
        <v>0</v>
      </c>
      <c r="BJ311" s="243" t="s">
        <v>18</v>
      </c>
      <c r="BK311" s="112">
        <f>ROUND($L$310*$K$310,3)</f>
        <v>0</v>
      </c>
      <c r="BL311" s="243" t="s">
        <v>203</v>
      </c>
    </row>
    <row r="312" spans="2:65" s="243" customFormat="1" ht="15.75" customHeight="1" x14ac:dyDescent="0.3">
      <c r="B312" s="19"/>
      <c r="C312" s="125">
        <v>131</v>
      </c>
      <c r="D312" s="125" t="s">
        <v>180</v>
      </c>
      <c r="E312" s="126" t="s">
        <v>399</v>
      </c>
      <c r="F312" s="282" t="s">
        <v>393</v>
      </c>
      <c r="G312" s="283"/>
      <c r="H312" s="283"/>
      <c r="I312" s="283"/>
      <c r="J312" s="127" t="s">
        <v>159</v>
      </c>
      <c r="K312" s="245">
        <v>5</v>
      </c>
      <c r="L312" s="284"/>
      <c r="M312" s="283"/>
      <c r="N312" s="284">
        <f t="shared" si="49"/>
        <v>0</v>
      </c>
      <c r="O312" s="285"/>
      <c r="P312" s="285"/>
      <c r="Q312" s="285"/>
      <c r="R312" s="20"/>
      <c r="T312" s="108"/>
      <c r="U312" s="26" t="s">
        <v>37</v>
      </c>
      <c r="V312" s="109">
        <v>0</v>
      </c>
      <c r="W312" s="109">
        <f>$V$310*$K$310</f>
        <v>0</v>
      </c>
      <c r="X312" s="109">
        <v>6.7999999999999996E-3</v>
      </c>
      <c r="Y312" s="109">
        <f>$X$310*$K$310</f>
        <v>3.3999999999999996E-2</v>
      </c>
      <c r="Z312" s="109">
        <v>0</v>
      </c>
      <c r="AA312" s="110">
        <f>$Z$310*$K$310</f>
        <v>0</v>
      </c>
      <c r="AC312" s="138"/>
      <c r="AD312" s="138"/>
      <c r="AE312" s="138"/>
      <c r="AF312" s="138"/>
      <c r="AG312" s="138"/>
      <c r="AH312" s="138"/>
      <c r="AI312" s="138"/>
      <c r="AJ312" s="138"/>
      <c r="AR312" s="243" t="s">
        <v>203</v>
      </c>
      <c r="AT312" s="243" t="s">
        <v>180</v>
      </c>
      <c r="AU312" s="243" t="s">
        <v>82</v>
      </c>
      <c r="AY312" s="243" t="s">
        <v>115</v>
      </c>
      <c r="BE312" s="111">
        <f>IF($U$310="základní",$N$310,0)</f>
        <v>0</v>
      </c>
      <c r="BF312" s="111">
        <f>IF($U$310="snížená",$N$310,0)</f>
        <v>0</v>
      </c>
      <c r="BG312" s="111">
        <f>IF($U$310="zákl. přenesená",$N$310,0)</f>
        <v>0</v>
      </c>
      <c r="BH312" s="111">
        <f>IF($U$310="sníž. přenesená",$N$310,0)</f>
        <v>0</v>
      </c>
      <c r="BI312" s="111">
        <f>IF($U$310="nulová",$N$310,0)</f>
        <v>0</v>
      </c>
      <c r="BJ312" s="243" t="s">
        <v>18</v>
      </c>
      <c r="BK312" s="112">
        <f>ROUND($L$310*$K$310,3)</f>
        <v>0</v>
      </c>
      <c r="BL312" s="243" t="s">
        <v>203</v>
      </c>
    </row>
    <row r="313" spans="2:65" s="161" customFormat="1" ht="15.75" customHeight="1" x14ac:dyDescent="0.3">
      <c r="B313" s="19"/>
      <c r="C313" s="125">
        <v>132</v>
      </c>
      <c r="D313" s="125" t="s">
        <v>180</v>
      </c>
      <c r="E313" s="126" t="s">
        <v>239</v>
      </c>
      <c r="F313" s="288" t="s">
        <v>376</v>
      </c>
      <c r="G313" s="283"/>
      <c r="H313" s="283"/>
      <c r="I313" s="283"/>
      <c r="J313" s="127" t="s">
        <v>159</v>
      </c>
      <c r="K313" s="164">
        <v>3</v>
      </c>
      <c r="L313" s="284"/>
      <c r="M313" s="283"/>
      <c r="N313" s="284">
        <f t="shared" si="49"/>
        <v>0</v>
      </c>
      <c r="O313" s="285"/>
      <c r="P313" s="285"/>
      <c r="Q313" s="285"/>
      <c r="R313" s="20"/>
      <c r="T313" s="108"/>
      <c r="U313" s="26" t="s">
        <v>37</v>
      </c>
      <c r="V313" s="109">
        <v>0</v>
      </c>
      <c r="W313" s="109">
        <f>$V$310*$K$310</f>
        <v>0</v>
      </c>
      <c r="X313" s="109">
        <v>6.7999999999999996E-3</v>
      </c>
      <c r="Y313" s="109">
        <f>$X$310*$K$310</f>
        <v>3.3999999999999996E-2</v>
      </c>
      <c r="Z313" s="109">
        <v>0</v>
      </c>
      <c r="AA313" s="110">
        <f>$Z$310*$K$310</f>
        <v>0</v>
      </c>
      <c r="AC313" s="138"/>
      <c r="AD313" s="138"/>
      <c r="AE313" s="138"/>
      <c r="AF313" s="138"/>
      <c r="AG313" s="138"/>
      <c r="AH313" s="138"/>
      <c r="AI313" s="138"/>
      <c r="AJ313" s="138"/>
      <c r="AR313" s="161" t="s">
        <v>203</v>
      </c>
      <c r="AT313" s="161" t="s">
        <v>180</v>
      </c>
      <c r="AU313" s="161" t="s">
        <v>82</v>
      </c>
      <c r="AY313" s="161" t="s">
        <v>115</v>
      </c>
      <c r="BE313" s="111">
        <f>IF($U$310="základní",$N$310,0)</f>
        <v>0</v>
      </c>
      <c r="BF313" s="111">
        <f>IF($U$310="snížená",$N$310,0)</f>
        <v>0</v>
      </c>
      <c r="BG313" s="111">
        <f>IF($U$310="zákl. přenesená",$N$310,0)</f>
        <v>0</v>
      </c>
      <c r="BH313" s="111">
        <f>IF($U$310="sníž. přenesená",$N$310,0)</f>
        <v>0</v>
      </c>
      <c r="BI313" s="111">
        <f>IF($U$310="nulová",$N$310,0)</f>
        <v>0</v>
      </c>
      <c r="BJ313" s="161" t="s">
        <v>18</v>
      </c>
      <c r="BK313" s="112">
        <f>ROUND($L$310*$K$310,3)</f>
        <v>0</v>
      </c>
      <c r="BL313" s="161" t="s">
        <v>203</v>
      </c>
    </row>
    <row r="314" spans="2:65" s="6" customFormat="1" ht="27" customHeight="1" x14ac:dyDescent="0.3">
      <c r="B314" s="19"/>
      <c r="C314" s="104">
        <v>133</v>
      </c>
      <c r="D314" s="104" t="s">
        <v>116</v>
      </c>
      <c r="E314" s="105" t="s">
        <v>240</v>
      </c>
      <c r="F314" s="286" t="s">
        <v>241</v>
      </c>
      <c r="G314" s="285"/>
      <c r="H314" s="285"/>
      <c r="I314" s="285"/>
      <c r="J314" s="106" t="s">
        <v>150</v>
      </c>
      <c r="K314" s="107">
        <v>155</v>
      </c>
      <c r="L314" s="287"/>
      <c r="M314" s="285"/>
      <c r="N314" s="287">
        <f t="shared" si="49"/>
        <v>0</v>
      </c>
      <c r="O314" s="285"/>
      <c r="P314" s="285"/>
      <c r="Q314" s="285"/>
      <c r="R314" s="20"/>
      <c r="T314" s="108"/>
      <c r="U314" s="26" t="s">
        <v>37</v>
      </c>
      <c r="V314" s="109">
        <v>2.1999999999999999E-2</v>
      </c>
      <c r="W314" s="109">
        <f>$V$314*$K$314</f>
        <v>3.4099999999999997</v>
      </c>
      <c r="X314" s="109">
        <v>6.0000000000000002E-5</v>
      </c>
      <c r="Y314" s="109">
        <f>$X$314*$K$314</f>
        <v>9.300000000000001E-3</v>
      </c>
      <c r="Z314" s="109">
        <v>0</v>
      </c>
      <c r="AA314" s="110">
        <f>$Z$314*$K$314</f>
        <v>0</v>
      </c>
      <c r="AC314" s="138"/>
      <c r="AD314" s="138"/>
      <c r="AE314" s="138"/>
      <c r="AF314" s="138"/>
      <c r="AG314" s="138"/>
      <c r="AH314" s="138"/>
      <c r="AI314" s="138"/>
      <c r="AJ314" s="138"/>
      <c r="AR314" s="6" t="s">
        <v>213</v>
      </c>
      <c r="AT314" s="6" t="s">
        <v>116</v>
      </c>
      <c r="AU314" s="6" t="s">
        <v>82</v>
      </c>
      <c r="AY314" s="6" t="s">
        <v>115</v>
      </c>
      <c r="BE314" s="111">
        <f>IF($U$314="základní",$N$314,0)</f>
        <v>0</v>
      </c>
      <c r="BF314" s="111">
        <f>IF($U$314="snížená",$N$314,0)</f>
        <v>0</v>
      </c>
      <c r="BG314" s="111">
        <f>IF($U$314="zákl. přenesená",$N$314,0)</f>
        <v>0</v>
      </c>
      <c r="BH314" s="111">
        <f>IF($U$314="sníž. přenesená",$N$314,0)</f>
        <v>0</v>
      </c>
      <c r="BI314" s="111">
        <f>IF($U$314="nulová",$N$314,0)</f>
        <v>0</v>
      </c>
      <c r="BJ314" s="6" t="s">
        <v>18</v>
      </c>
      <c r="BK314" s="112">
        <f>ROUND($L$314*$K$314,3)</f>
        <v>0</v>
      </c>
      <c r="BL314" s="6" t="s">
        <v>213</v>
      </c>
    </row>
    <row r="315" spans="2:65" s="243" customFormat="1" ht="27" customHeight="1" x14ac:dyDescent="0.3">
      <c r="B315" s="19"/>
      <c r="C315" s="104">
        <v>134</v>
      </c>
      <c r="D315" s="104" t="s">
        <v>116</v>
      </c>
      <c r="E315" s="105" t="s">
        <v>395</v>
      </c>
      <c r="F315" s="286" t="s">
        <v>394</v>
      </c>
      <c r="G315" s="285"/>
      <c r="H315" s="285"/>
      <c r="I315" s="285"/>
      <c r="J315" s="106" t="s">
        <v>150</v>
      </c>
      <c r="K315" s="244">
        <v>155</v>
      </c>
      <c r="L315" s="287"/>
      <c r="M315" s="285"/>
      <c r="N315" s="287">
        <f t="shared" si="49"/>
        <v>0</v>
      </c>
      <c r="O315" s="285"/>
      <c r="P315" s="285"/>
      <c r="Q315" s="285"/>
      <c r="R315" s="20"/>
      <c r="T315" s="108"/>
      <c r="U315" s="26" t="s">
        <v>37</v>
      </c>
      <c r="V315" s="109">
        <v>2.1999999999999999E-2</v>
      </c>
      <c r="W315" s="109">
        <f>$V$314*$K$314</f>
        <v>3.4099999999999997</v>
      </c>
      <c r="X315" s="109">
        <v>6.0000000000000002E-5</v>
      </c>
      <c r="Y315" s="109">
        <f>$X$314*$K$314</f>
        <v>9.300000000000001E-3</v>
      </c>
      <c r="Z315" s="109">
        <v>0</v>
      </c>
      <c r="AA315" s="110">
        <f>$Z$314*$K$314</f>
        <v>0</v>
      </c>
      <c r="AC315" s="138"/>
      <c r="AD315" s="138"/>
      <c r="AE315" s="138"/>
      <c r="AF315" s="138"/>
      <c r="AG315" s="138"/>
      <c r="AH315" s="138"/>
      <c r="AI315" s="138"/>
      <c r="AJ315" s="138"/>
      <c r="AR315" s="243" t="s">
        <v>213</v>
      </c>
      <c r="AT315" s="243" t="s">
        <v>116</v>
      </c>
      <c r="AU315" s="243" t="s">
        <v>82</v>
      </c>
      <c r="AY315" s="243" t="s">
        <v>115</v>
      </c>
      <c r="BE315" s="111">
        <f>IF($U$314="základní",$N$314,0)</f>
        <v>0</v>
      </c>
      <c r="BF315" s="111">
        <f>IF($U$314="snížená",$N$314,0)</f>
        <v>0</v>
      </c>
      <c r="BG315" s="111">
        <f>IF($U$314="zákl. přenesená",$N$314,0)</f>
        <v>0</v>
      </c>
      <c r="BH315" s="111">
        <f>IF($U$314="sníž. přenesená",$N$314,0)</f>
        <v>0</v>
      </c>
      <c r="BI315" s="111">
        <f>IF($U$314="nulová",$N$314,0)</f>
        <v>0</v>
      </c>
      <c r="BJ315" s="243" t="s">
        <v>18</v>
      </c>
      <c r="BK315" s="112">
        <f>ROUND($L$314*$K$314,3)</f>
        <v>0</v>
      </c>
      <c r="BL315" s="243" t="s">
        <v>213</v>
      </c>
    </row>
    <row r="316" spans="2:65" s="6" customFormat="1" ht="27" customHeight="1" x14ac:dyDescent="0.3">
      <c r="B316" s="19"/>
      <c r="C316" s="104">
        <v>135</v>
      </c>
      <c r="D316" s="104" t="s">
        <v>116</v>
      </c>
      <c r="E316" s="105" t="s">
        <v>183</v>
      </c>
      <c r="F316" s="286" t="s">
        <v>184</v>
      </c>
      <c r="G316" s="285"/>
      <c r="H316" s="285"/>
      <c r="I316" s="285"/>
      <c r="J316" s="106" t="s">
        <v>162</v>
      </c>
      <c r="K316" s="107">
        <v>9.9220000000000006</v>
      </c>
      <c r="L316" s="287"/>
      <c r="M316" s="285"/>
      <c r="N316" s="287">
        <f>ROUND($L$316*$K$316,3)</f>
        <v>0</v>
      </c>
      <c r="O316" s="285"/>
      <c r="P316" s="285"/>
      <c r="Q316" s="285"/>
      <c r="R316" s="20"/>
      <c r="T316" s="108"/>
      <c r="U316" s="26" t="s">
        <v>37</v>
      </c>
      <c r="V316" s="109">
        <v>0.39</v>
      </c>
      <c r="W316" s="109">
        <f>$V$316*$K$316</f>
        <v>3.8695800000000005</v>
      </c>
      <c r="X316" s="109">
        <v>0</v>
      </c>
      <c r="Y316" s="109">
        <f>$X$316*$K$316</f>
        <v>0</v>
      </c>
      <c r="Z316" s="109">
        <v>0</v>
      </c>
      <c r="AA316" s="110">
        <f>$Z$316*$K$316</f>
        <v>0</v>
      </c>
      <c r="AC316" s="138"/>
      <c r="AD316" s="138"/>
      <c r="AE316" s="138"/>
      <c r="AF316" s="138"/>
      <c r="AG316" s="138"/>
      <c r="AH316" s="138"/>
      <c r="AI316" s="138"/>
      <c r="AJ316" s="138"/>
      <c r="AR316" s="6" t="s">
        <v>213</v>
      </c>
      <c r="AT316" s="6" t="s">
        <v>116</v>
      </c>
      <c r="AU316" s="6" t="s">
        <v>82</v>
      </c>
      <c r="AY316" s="6" t="s">
        <v>115</v>
      </c>
      <c r="BE316" s="111">
        <f>IF($U$316="základní",$N$316,0)</f>
        <v>0</v>
      </c>
      <c r="BF316" s="111">
        <f>IF($U$316="snížená",$N$316,0)</f>
        <v>0</v>
      </c>
      <c r="BG316" s="111">
        <f>IF($U$316="zákl. přenesená",$N$316,0)</f>
        <v>0</v>
      </c>
      <c r="BH316" s="111">
        <f>IF($U$316="sníž. přenesená",$N$316,0)</f>
        <v>0</v>
      </c>
      <c r="BI316" s="111">
        <f>IF($U$316="nulová",$N$316,0)</f>
        <v>0</v>
      </c>
      <c r="BJ316" s="6" t="s">
        <v>18</v>
      </c>
      <c r="BK316" s="112">
        <f>ROUND($L$316*$K$316,3)</f>
        <v>0</v>
      </c>
      <c r="BL316" s="6" t="s">
        <v>213</v>
      </c>
    </row>
    <row r="317" spans="2:65" s="94" customFormat="1" ht="30.75" customHeight="1" x14ac:dyDescent="0.3">
      <c r="B317" s="95"/>
      <c r="D317" s="103" t="s">
        <v>98</v>
      </c>
      <c r="N317" s="300">
        <f>SUM(N318:Q331)</f>
        <v>0</v>
      </c>
      <c r="O317" s="301"/>
      <c r="P317" s="301"/>
      <c r="Q317" s="301"/>
      <c r="R317" s="98"/>
      <c r="T317" s="99"/>
      <c r="W317" s="100">
        <f>SUM($W$322:$W$323)</f>
        <v>11.09704</v>
      </c>
      <c r="Y317" s="100">
        <f>SUM($Y$322:$Y$323)</f>
        <v>5.4463999999999988E-3</v>
      </c>
      <c r="AA317" s="101">
        <f>SUM($AA$322:$AA$323)</f>
        <v>0</v>
      </c>
      <c r="AC317" s="147"/>
      <c r="AD317" s="140"/>
      <c r="AE317" s="140"/>
      <c r="AF317" s="140"/>
      <c r="AG317" s="140"/>
      <c r="AH317" s="140"/>
      <c r="AI317" s="140"/>
      <c r="AJ317" s="140"/>
      <c r="AR317" s="97" t="s">
        <v>18</v>
      </c>
      <c r="AT317" s="97" t="s">
        <v>71</v>
      </c>
      <c r="AU317" s="97" t="s">
        <v>18</v>
      </c>
      <c r="AY317" s="97" t="s">
        <v>115</v>
      </c>
      <c r="BK317" s="102">
        <f>SUM($BK$322:$BK$323)</f>
        <v>0</v>
      </c>
    </row>
    <row r="318" spans="2:65" s="167" customFormat="1" ht="28.9" customHeight="1" x14ac:dyDescent="0.3">
      <c r="B318" s="168"/>
      <c r="C318" s="346">
        <v>136</v>
      </c>
      <c r="D318" s="346" t="s">
        <v>116</v>
      </c>
      <c r="E318" s="347" t="s">
        <v>442</v>
      </c>
      <c r="F318" s="348" t="s">
        <v>443</v>
      </c>
      <c r="G318" s="348"/>
      <c r="H318" s="348"/>
      <c r="I318" s="348"/>
      <c r="J318" s="349" t="s">
        <v>119</v>
      </c>
      <c r="K318" s="350">
        <f>K319</f>
        <v>0.57599999999999996</v>
      </c>
      <c r="L318" s="351"/>
      <c r="M318" s="351"/>
      <c r="N318" s="351">
        <f>ROUND(L318*K318,3)</f>
        <v>0</v>
      </c>
      <c r="O318" s="351"/>
      <c r="P318" s="351"/>
      <c r="Q318" s="351"/>
      <c r="R318" s="173"/>
      <c r="T318" s="212" t="s">
        <v>293</v>
      </c>
      <c r="U318" s="213" t="s">
        <v>37</v>
      </c>
      <c r="V318" s="214">
        <v>3.14</v>
      </c>
      <c r="W318" s="214">
        <f>V318*K318</f>
        <v>1.80864</v>
      </c>
      <c r="X318" s="214">
        <v>0</v>
      </c>
      <c r="Y318" s="214">
        <f>X318*K318</f>
        <v>0</v>
      </c>
      <c r="Z318" s="214">
        <v>0</v>
      </c>
      <c r="AA318" s="215">
        <f>Z318*K318</f>
        <v>0</v>
      </c>
      <c r="AR318" s="178" t="s">
        <v>120</v>
      </c>
      <c r="AT318" s="178" t="s">
        <v>116</v>
      </c>
      <c r="AU318" s="178" t="s">
        <v>82</v>
      </c>
      <c r="AY318" s="178" t="s">
        <v>115</v>
      </c>
      <c r="BE318" s="179">
        <f>IF(U318="základní",N318,0)</f>
        <v>0</v>
      </c>
      <c r="BF318" s="179">
        <f>IF(U318="snížená",N318,0)</f>
        <v>0</v>
      </c>
      <c r="BG318" s="179">
        <f>IF(U318="zákl. přenesená",N318,0)</f>
        <v>0</v>
      </c>
      <c r="BH318" s="179">
        <f>IF(U318="sníž. přenesená",N318,0)</f>
        <v>0</v>
      </c>
      <c r="BI318" s="179">
        <f>IF(U318="nulová",N318,0)</f>
        <v>0</v>
      </c>
      <c r="BJ318" s="178" t="s">
        <v>18</v>
      </c>
      <c r="BK318" s="180">
        <f>ROUND(L318*K318,3)</f>
        <v>0</v>
      </c>
      <c r="BL318" s="178" t="s">
        <v>120</v>
      </c>
      <c r="BM318" s="178" t="s">
        <v>444</v>
      </c>
    </row>
    <row r="319" spans="2:65" s="352" customFormat="1" ht="20.45" customHeight="1" x14ac:dyDescent="0.3">
      <c r="B319" s="353"/>
      <c r="C319" s="354"/>
      <c r="D319" s="354"/>
      <c r="E319" s="355" t="s">
        <v>293</v>
      </c>
      <c r="F319" s="356" t="s">
        <v>451</v>
      </c>
      <c r="G319" s="357"/>
      <c r="H319" s="357"/>
      <c r="I319" s="357"/>
      <c r="J319" s="354"/>
      <c r="K319" s="358">
        <f>8*0.3*0.3*0.8</f>
        <v>0.57599999999999996</v>
      </c>
      <c r="L319" s="354"/>
      <c r="M319" s="354"/>
      <c r="N319" s="354"/>
      <c r="O319" s="354"/>
      <c r="P319" s="354"/>
      <c r="Q319" s="354"/>
      <c r="R319" s="359"/>
      <c r="T319" s="360"/>
      <c r="U319" s="361"/>
      <c r="V319" s="361"/>
      <c r="W319" s="361"/>
      <c r="X319" s="361"/>
      <c r="Y319" s="361"/>
      <c r="Z319" s="361"/>
      <c r="AA319" s="362"/>
      <c r="AT319" s="363" t="s">
        <v>128</v>
      </c>
      <c r="AU319" s="363" t="s">
        <v>82</v>
      </c>
      <c r="AV319" s="352" t="s">
        <v>82</v>
      </c>
      <c r="AW319" s="352" t="s">
        <v>30</v>
      </c>
      <c r="AX319" s="352" t="s">
        <v>18</v>
      </c>
      <c r="AY319" s="363" t="s">
        <v>115</v>
      </c>
    </row>
    <row r="320" spans="2:65" s="167" customFormat="1" ht="28.9" customHeight="1" x14ac:dyDescent="0.3">
      <c r="B320" s="168"/>
      <c r="C320" s="346">
        <v>137</v>
      </c>
      <c r="D320" s="346" t="s">
        <v>116</v>
      </c>
      <c r="E320" s="347" t="s">
        <v>445</v>
      </c>
      <c r="F320" s="348" t="s">
        <v>446</v>
      </c>
      <c r="G320" s="348"/>
      <c r="H320" s="348"/>
      <c r="I320" s="348"/>
      <c r="J320" s="349" t="s">
        <v>119</v>
      </c>
      <c r="K320" s="350">
        <v>1.1519999999999999</v>
      </c>
      <c r="L320" s="351"/>
      <c r="M320" s="351"/>
      <c r="N320" s="351">
        <f t="shared" ref="N320:N321" si="50">ROUND(L320*K320,3)</f>
        <v>0</v>
      </c>
      <c r="O320" s="351"/>
      <c r="P320" s="351"/>
      <c r="Q320" s="351"/>
      <c r="R320" s="173"/>
      <c r="T320" s="212" t="s">
        <v>293</v>
      </c>
      <c r="U320" s="213" t="s">
        <v>37</v>
      </c>
      <c r="V320" s="214">
        <v>0.47399999999999998</v>
      </c>
      <c r="W320" s="214">
        <f t="shared" ref="W320:W321" si="51">V320*K320</f>
        <v>0.54604799999999998</v>
      </c>
      <c r="X320" s="214">
        <v>0</v>
      </c>
      <c r="Y320" s="214">
        <f t="shared" ref="Y320:Y321" si="52">X320*K320</f>
        <v>0</v>
      </c>
      <c r="Z320" s="214">
        <v>0</v>
      </c>
      <c r="AA320" s="215">
        <f t="shared" ref="AA320:AA321" si="53">Z320*K320</f>
        <v>0</v>
      </c>
      <c r="AR320" s="178" t="s">
        <v>120</v>
      </c>
      <c r="AT320" s="178" t="s">
        <v>116</v>
      </c>
      <c r="AU320" s="178" t="s">
        <v>82</v>
      </c>
      <c r="AY320" s="178" t="s">
        <v>115</v>
      </c>
      <c r="BE320" s="179">
        <f t="shared" ref="BE320:BE321" si="54">IF(U320="základní",N320,0)</f>
        <v>0</v>
      </c>
      <c r="BF320" s="179">
        <f t="shared" ref="BF320:BF321" si="55">IF(U320="snížená",N320,0)</f>
        <v>0</v>
      </c>
      <c r="BG320" s="179">
        <f t="shared" ref="BG320:BG321" si="56">IF(U320="zákl. přenesená",N320,0)</f>
        <v>0</v>
      </c>
      <c r="BH320" s="179">
        <f t="shared" ref="BH320:BH321" si="57">IF(U320="sníž. přenesená",N320,0)</f>
        <v>0</v>
      </c>
      <c r="BI320" s="179">
        <f t="shared" ref="BI320:BI321" si="58">IF(U320="nulová",N320,0)</f>
        <v>0</v>
      </c>
      <c r="BJ320" s="178" t="s">
        <v>18</v>
      </c>
      <c r="BK320" s="180">
        <f t="shared" ref="BK320:BK321" si="59">ROUND(L320*K320,3)</f>
        <v>0</v>
      </c>
      <c r="BL320" s="178" t="s">
        <v>120</v>
      </c>
      <c r="BM320" s="178" t="s">
        <v>447</v>
      </c>
    </row>
    <row r="321" spans="2:65" s="167" customFormat="1" ht="28.9" customHeight="1" x14ac:dyDescent="0.3">
      <c r="B321" s="168"/>
      <c r="C321" s="346">
        <v>137</v>
      </c>
      <c r="D321" s="346" t="s">
        <v>116</v>
      </c>
      <c r="E321" s="347" t="s">
        <v>448</v>
      </c>
      <c r="F321" s="348" t="s">
        <v>449</v>
      </c>
      <c r="G321" s="348"/>
      <c r="H321" s="348"/>
      <c r="I321" s="348"/>
      <c r="J321" s="349" t="s">
        <v>119</v>
      </c>
      <c r="K321" s="350">
        <f>K318</f>
        <v>0.57599999999999996</v>
      </c>
      <c r="L321" s="351"/>
      <c r="M321" s="351"/>
      <c r="N321" s="351">
        <f t="shared" si="50"/>
        <v>0</v>
      </c>
      <c r="O321" s="351"/>
      <c r="P321" s="351"/>
      <c r="Q321" s="351"/>
      <c r="R321" s="173"/>
      <c r="T321" s="212" t="s">
        <v>293</v>
      </c>
      <c r="U321" s="213" t="s">
        <v>37</v>
      </c>
      <c r="V321" s="214">
        <v>1.1040000000000001</v>
      </c>
      <c r="W321" s="214">
        <f t="shared" si="51"/>
        <v>0.63590400000000002</v>
      </c>
      <c r="X321" s="214">
        <v>0</v>
      </c>
      <c r="Y321" s="214">
        <f t="shared" si="52"/>
        <v>0</v>
      </c>
      <c r="Z321" s="214">
        <v>0</v>
      </c>
      <c r="AA321" s="215">
        <f t="shared" si="53"/>
        <v>0</v>
      </c>
      <c r="AR321" s="178" t="s">
        <v>120</v>
      </c>
      <c r="AT321" s="178" t="s">
        <v>116</v>
      </c>
      <c r="AU321" s="178" t="s">
        <v>82</v>
      </c>
      <c r="AY321" s="178" t="s">
        <v>115</v>
      </c>
      <c r="BE321" s="179">
        <f t="shared" si="54"/>
        <v>0</v>
      </c>
      <c r="BF321" s="179">
        <f t="shared" si="55"/>
        <v>0</v>
      </c>
      <c r="BG321" s="179">
        <f t="shared" si="56"/>
        <v>0</v>
      </c>
      <c r="BH321" s="179">
        <f t="shared" si="57"/>
        <v>0</v>
      </c>
      <c r="BI321" s="179">
        <f t="shared" si="58"/>
        <v>0</v>
      </c>
      <c r="BJ321" s="178" t="s">
        <v>18</v>
      </c>
      <c r="BK321" s="180">
        <f t="shared" si="59"/>
        <v>0</v>
      </c>
      <c r="BL321" s="178" t="s">
        <v>120</v>
      </c>
      <c r="BM321" s="178" t="s">
        <v>450</v>
      </c>
    </row>
    <row r="322" spans="2:65" s="6" customFormat="1" ht="27" customHeight="1" x14ac:dyDescent="0.3">
      <c r="B322" s="19"/>
      <c r="C322" s="104">
        <v>139</v>
      </c>
      <c r="D322" s="104" t="s">
        <v>116</v>
      </c>
      <c r="E322" s="105" t="s">
        <v>242</v>
      </c>
      <c r="F322" s="286" t="s">
        <v>243</v>
      </c>
      <c r="G322" s="285"/>
      <c r="H322" s="285"/>
      <c r="I322" s="285"/>
      <c r="J322" s="106" t="s">
        <v>135</v>
      </c>
      <c r="K322" s="107">
        <v>68.08</v>
      </c>
      <c r="L322" s="287"/>
      <c r="M322" s="285"/>
      <c r="N322" s="287">
        <f t="shared" ref="N322:N331" si="60">K322*L322</f>
        <v>0</v>
      </c>
      <c r="O322" s="285"/>
      <c r="P322" s="285"/>
      <c r="Q322" s="285"/>
      <c r="R322" s="20"/>
      <c r="T322" s="108"/>
      <c r="U322" s="26" t="s">
        <v>37</v>
      </c>
      <c r="V322" s="109">
        <v>0.08</v>
      </c>
      <c r="W322" s="109">
        <f>$V$322*$K$322</f>
        <v>5.4463999999999997</v>
      </c>
      <c r="X322" s="109">
        <v>6.9999999999999994E-5</v>
      </c>
      <c r="Y322" s="109">
        <f>$X$322*$K$322</f>
        <v>4.7655999999999992E-3</v>
      </c>
      <c r="Z322" s="109">
        <v>0</v>
      </c>
      <c r="AA322" s="110">
        <f>$Z$322*$K$322</f>
        <v>0</v>
      </c>
      <c r="AC322" s="138"/>
      <c r="AD322" s="138"/>
      <c r="AE322" s="138"/>
      <c r="AF322" s="138"/>
      <c r="AG322" s="138"/>
      <c r="AH322" s="138"/>
      <c r="AI322" s="138"/>
      <c r="AJ322" s="138"/>
      <c r="AR322" s="6" t="s">
        <v>120</v>
      </c>
      <c r="AT322" s="6" t="s">
        <v>116</v>
      </c>
      <c r="AU322" s="6" t="s">
        <v>82</v>
      </c>
      <c r="AY322" s="6" t="s">
        <v>115</v>
      </c>
      <c r="BE322" s="111">
        <f>IF($U$322="základní",$N$322,0)</f>
        <v>0</v>
      </c>
      <c r="BF322" s="111">
        <f>IF($U$322="snížená",$N$322,0)</f>
        <v>0</v>
      </c>
      <c r="BG322" s="111">
        <f>IF($U$322="zákl. přenesená",$N$322,0)</f>
        <v>0</v>
      </c>
      <c r="BH322" s="111">
        <f>IF($U$322="sníž. přenesená",$N$322,0)</f>
        <v>0</v>
      </c>
      <c r="BI322" s="111">
        <f>IF($U$322="nulová",$N$322,0)</f>
        <v>0</v>
      </c>
      <c r="BJ322" s="6" t="s">
        <v>18</v>
      </c>
      <c r="BK322" s="112">
        <f>ROUND($L$322*$K$322,3)</f>
        <v>0</v>
      </c>
      <c r="BL322" s="6" t="s">
        <v>120</v>
      </c>
    </row>
    <row r="323" spans="2:65" s="6" customFormat="1" ht="15.75" customHeight="1" x14ac:dyDescent="0.3">
      <c r="B323" s="19"/>
      <c r="C323" s="104">
        <v>140</v>
      </c>
      <c r="D323" s="104" t="s">
        <v>116</v>
      </c>
      <c r="E323" s="105" t="s">
        <v>244</v>
      </c>
      <c r="F323" s="286" t="s">
        <v>245</v>
      </c>
      <c r="G323" s="285"/>
      <c r="H323" s="285"/>
      <c r="I323" s="285"/>
      <c r="J323" s="106" t="s">
        <v>135</v>
      </c>
      <c r="K323" s="107">
        <f>K322</f>
        <v>68.08</v>
      </c>
      <c r="L323" s="287"/>
      <c r="M323" s="285"/>
      <c r="N323" s="287">
        <f t="shared" si="60"/>
        <v>0</v>
      </c>
      <c r="O323" s="285"/>
      <c r="P323" s="285"/>
      <c r="Q323" s="285"/>
      <c r="R323" s="20"/>
      <c r="T323" s="108"/>
      <c r="U323" s="26" t="s">
        <v>37</v>
      </c>
      <c r="V323" s="109">
        <v>8.3000000000000004E-2</v>
      </c>
      <c r="W323" s="109">
        <f>$V$323*$K$323</f>
        <v>5.6506400000000001</v>
      </c>
      <c r="X323" s="109">
        <v>1.0000000000000001E-5</v>
      </c>
      <c r="Y323" s="109">
        <f>$X$323*$K$323</f>
        <v>6.8080000000000007E-4</v>
      </c>
      <c r="Z323" s="109">
        <v>0</v>
      </c>
      <c r="AA323" s="110">
        <f>$Z$323*$K$323</f>
        <v>0</v>
      </c>
      <c r="AC323" s="138"/>
      <c r="AD323" s="138"/>
      <c r="AE323" s="138"/>
      <c r="AF323" s="138"/>
      <c r="AG323" s="138"/>
      <c r="AH323" s="138"/>
      <c r="AI323" s="138"/>
      <c r="AJ323" s="138"/>
      <c r="AR323" s="6" t="s">
        <v>120</v>
      </c>
      <c r="AT323" s="6" t="s">
        <v>116</v>
      </c>
      <c r="AU323" s="6" t="s">
        <v>82</v>
      </c>
      <c r="AY323" s="6" t="s">
        <v>115</v>
      </c>
      <c r="BE323" s="111">
        <f>IF($U$323="základní",$N$323,0)</f>
        <v>0</v>
      </c>
      <c r="BF323" s="111">
        <f>IF($U$323="snížená",$N$323,0)</f>
        <v>0</v>
      </c>
      <c r="BG323" s="111">
        <f>IF($U$323="zákl. přenesená",$N$323,0)</f>
        <v>0</v>
      </c>
      <c r="BH323" s="111">
        <f>IF($U$323="sníž. přenesená",$N$323,0)</f>
        <v>0</v>
      </c>
      <c r="BI323" s="111">
        <f>IF($U$323="nulová",$N$323,0)</f>
        <v>0</v>
      </c>
      <c r="BJ323" s="6" t="s">
        <v>18</v>
      </c>
      <c r="BK323" s="112">
        <f>ROUND($L$323*$K$323,3)</f>
        <v>0</v>
      </c>
      <c r="BL323" s="6" t="s">
        <v>120</v>
      </c>
    </row>
    <row r="324" spans="2:65" s="167" customFormat="1" ht="40.15" customHeight="1" x14ac:dyDescent="0.3">
      <c r="B324" s="168"/>
      <c r="C324" s="169">
        <v>141</v>
      </c>
      <c r="D324" s="169" t="s">
        <v>116</v>
      </c>
      <c r="E324" s="170" t="s">
        <v>347</v>
      </c>
      <c r="F324" s="297" t="s">
        <v>348</v>
      </c>
      <c r="G324" s="297"/>
      <c r="H324" s="297"/>
      <c r="I324" s="297"/>
      <c r="J324" s="171" t="s">
        <v>135</v>
      </c>
      <c r="K324" s="172">
        <f>K322</f>
        <v>68.08</v>
      </c>
      <c r="L324" s="298"/>
      <c r="M324" s="298"/>
      <c r="N324" s="298">
        <f>K324*L324</f>
        <v>0</v>
      </c>
      <c r="O324" s="298"/>
      <c r="P324" s="298"/>
      <c r="Q324" s="298"/>
      <c r="R324" s="173"/>
      <c r="T324" s="212" t="s">
        <v>293</v>
      </c>
      <c r="U324" s="213" t="s">
        <v>37</v>
      </c>
      <c r="V324" s="214">
        <v>0.129</v>
      </c>
      <c r="W324" s="214">
        <f t="shared" ref="W324" si="61">V324*K324</f>
        <v>8.7823200000000003</v>
      </c>
      <c r="X324" s="214">
        <v>2.5999999999999999E-3</v>
      </c>
      <c r="Y324" s="214">
        <f t="shared" ref="Y324" si="62">X324*K324</f>
        <v>0.177008</v>
      </c>
      <c r="Z324" s="214">
        <v>0</v>
      </c>
      <c r="AA324" s="215">
        <f t="shared" ref="AA324" si="63">Z324*K324</f>
        <v>0</v>
      </c>
      <c r="AR324" s="178" t="s">
        <v>120</v>
      </c>
      <c r="AT324" s="178" t="s">
        <v>116</v>
      </c>
      <c r="AU324" s="178" t="s">
        <v>82</v>
      </c>
      <c r="AY324" s="178" t="s">
        <v>115</v>
      </c>
      <c r="BE324" s="179">
        <f t="shared" ref="BE324" si="64">IF(U324="základní",N324,0)</f>
        <v>0</v>
      </c>
      <c r="BF324" s="179">
        <f t="shared" ref="BF324" si="65">IF(U324="snížená",N324,0)</f>
        <v>0</v>
      </c>
      <c r="BG324" s="179">
        <f t="shared" ref="BG324" si="66">IF(U324="zákl. přenesená",N324,0)</f>
        <v>0</v>
      </c>
      <c r="BH324" s="179">
        <f t="shared" ref="BH324" si="67">IF(U324="sníž. přenesená",N324,0)</f>
        <v>0</v>
      </c>
      <c r="BI324" s="179">
        <f t="shared" ref="BI324" si="68">IF(U324="nulová",N324,0)</f>
        <v>0</v>
      </c>
      <c r="BJ324" s="178" t="s">
        <v>18</v>
      </c>
      <c r="BK324" s="180">
        <f t="shared" ref="BK324" si="69">ROUND(L324*K324,3)</f>
        <v>0</v>
      </c>
      <c r="BL324" s="178" t="s">
        <v>120</v>
      </c>
      <c r="BM324" s="178" t="s">
        <v>349</v>
      </c>
    </row>
    <row r="325" spans="2:65" s="6" customFormat="1" ht="29.25" customHeight="1" x14ac:dyDescent="0.3">
      <c r="B325" s="19"/>
      <c r="C325" s="150">
        <v>142</v>
      </c>
      <c r="D325" s="150" t="s">
        <v>116</v>
      </c>
      <c r="E325" s="151" t="s">
        <v>277</v>
      </c>
      <c r="F325" s="320" t="s">
        <v>278</v>
      </c>
      <c r="G325" s="320"/>
      <c r="H325" s="320"/>
      <c r="I325" s="320"/>
      <c r="J325" s="152" t="s">
        <v>159</v>
      </c>
      <c r="K325" s="153">
        <v>7</v>
      </c>
      <c r="L325" s="299"/>
      <c r="M325" s="299"/>
      <c r="N325" s="299">
        <f t="shared" si="60"/>
        <v>0</v>
      </c>
      <c r="O325" s="299"/>
      <c r="P325" s="299"/>
      <c r="Q325" s="299"/>
      <c r="R325" s="20"/>
      <c r="T325" s="108"/>
      <c r="U325" s="26" t="s">
        <v>37</v>
      </c>
      <c r="V325" s="109">
        <v>8.3000000000000004E-2</v>
      </c>
      <c r="W325" s="109">
        <f>$V$323*$K$323</f>
        <v>5.6506400000000001</v>
      </c>
      <c r="X325" s="109">
        <v>1.0000000000000001E-5</v>
      </c>
      <c r="Y325" s="109">
        <f>$X$323*$K$323</f>
        <v>6.8080000000000007E-4</v>
      </c>
      <c r="Z325" s="109">
        <v>0</v>
      </c>
      <c r="AA325" s="110">
        <f>$Z$323*$K$323</f>
        <v>0</v>
      </c>
      <c r="AC325" s="138"/>
      <c r="AD325" s="138"/>
      <c r="AE325" s="138"/>
      <c r="AF325" s="138"/>
      <c r="AG325" s="138"/>
      <c r="AH325" s="138"/>
      <c r="AI325" s="138"/>
      <c r="AJ325" s="138"/>
      <c r="AR325" s="6" t="s">
        <v>120</v>
      </c>
      <c r="AT325" s="6" t="s">
        <v>116</v>
      </c>
      <c r="AU325" s="6" t="s">
        <v>82</v>
      </c>
      <c r="AY325" s="6" t="s">
        <v>115</v>
      </c>
      <c r="BE325" s="111">
        <f>IF($U$323="základní",$N$323,0)</f>
        <v>0</v>
      </c>
      <c r="BF325" s="111">
        <f>IF($U$323="snížená",$N$323,0)</f>
        <v>0</v>
      </c>
      <c r="BG325" s="111">
        <f>IF($U$323="zákl. přenesená",$N$323,0)</f>
        <v>0</v>
      </c>
      <c r="BH325" s="111">
        <f>IF($U$323="sníž. přenesená",$N$323,0)</f>
        <v>0</v>
      </c>
      <c r="BI325" s="111">
        <f>IF($U$323="nulová",$N$323,0)</f>
        <v>0</v>
      </c>
      <c r="BJ325" s="6" t="s">
        <v>18</v>
      </c>
      <c r="BK325" s="112">
        <f>ROUND($L$323*$K$323,3)</f>
        <v>0</v>
      </c>
      <c r="BL325" s="6" t="s">
        <v>120</v>
      </c>
    </row>
    <row r="326" spans="2:65" s="6" customFormat="1" ht="27.75" customHeight="1" x14ac:dyDescent="0.3">
      <c r="B326" s="19"/>
      <c r="C326" s="150">
        <v>143</v>
      </c>
      <c r="D326" s="150" t="s">
        <v>116</v>
      </c>
      <c r="E326" s="151" t="s">
        <v>279</v>
      </c>
      <c r="F326" s="320" t="s">
        <v>280</v>
      </c>
      <c r="G326" s="320"/>
      <c r="H326" s="320"/>
      <c r="I326" s="320"/>
      <c r="J326" s="152" t="s">
        <v>159</v>
      </c>
      <c r="K326" s="153">
        <v>4</v>
      </c>
      <c r="L326" s="299"/>
      <c r="M326" s="299"/>
      <c r="N326" s="299">
        <f t="shared" si="60"/>
        <v>0</v>
      </c>
      <c r="O326" s="299"/>
      <c r="P326" s="299"/>
      <c r="Q326" s="299"/>
      <c r="R326" s="20"/>
      <c r="T326" s="108"/>
      <c r="U326" s="26" t="s">
        <v>37</v>
      </c>
      <c r="V326" s="109">
        <v>8.3000000000000004E-2</v>
      </c>
      <c r="W326" s="109">
        <f>$V$323*$K$323</f>
        <v>5.6506400000000001</v>
      </c>
      <c r="X326" s="109">
        <v>1.0000000000000001E-5</v>
      </c>
      <c r="Y326" s="109">
        <f>$X$323*$K$323</f>
        <v>6.8080000000000007E-4</v>
      </c>
      <c r="Z326" s="109">
        <v>0</v>
      </c>
      <c r="AA326" s="110">
        <f>$Z$323*$K$323</f>
        <v>0</v>
      </c>
      <c r="AC326" s="138"/>
      <c r="AD326" s="138"/>
      <c r="AE326" s="138"/>
      <c r="AF326" s="138"/>
      <c r="AG326" s="138"/>
      <c r="AH326" s="138"/>
      <c r="AI326" s="138"/>
      <c r="AJ326" s="138"/>
      <c r="AR326" s="6" t="s">
        <v>120</v>
      </c>
      <c r="AT326" s="6" t="s">
        <v>116</v>
      </c>
      <c r="AU326" s="6" t="s">
        <v>82</v>
      </c>
      <c r="AY326" s="6" t="s">
        <v>115</v>
      </c>
      <c r="BE326" s="111">
        <f>IF($U$323="základní",$N$323,0)</f>
        <v>0</v>
      </c>
      <c r="BF326" s="111">
        <f>IF($U$323="snížená",$N$323,0)</f>
        <v>0</v>
      </c>
      <c r="BG326" s="111">
        <f>IF($U$323="zákl. přenesená",$N$323,0)</f>
        <v>0</v>
      </c>
      <c r="BH326" s="111">
        <f>IF($U$323="sníž. přenesená",$N$323,0)</f>
        <v>0</v>
      </c>
      <c r="BI326" s="111">
        <f>IF($U$323="nulová",$N$323,0)</f>
        <v>0</v>
      </c>
      <c r="BJ326" s="6" t="s">
        <v>18</v>
      </c>
      <c r="BK326" s="112">
        <f>ROUND($L$323*$K$323,3)</f>
        <v>0</v>
      </c>
      <c r="BL326" s="6" t="s">
        <v>120</v>
      </c>
    </row>
    <row r="327" spans="2:65" s="167" customFormat="1" ht="28.9" customHeight="1" x14ac:dyDescent="0.3">
      <c r="B327" s="168"/>
      <c r="C327" s="208">
        <v>144</v>
      </c>
      <c r="D327" s="208" t="s">
        <v>180</v>
      </c>
      <c r="E327" s="209" t="s">
        <v>341</v>
      </c>
      <c r="F327" s="322" t="s">
        <v>342</v>
      </c>
      <c r="G327" s="322"/>
      <c r="H327" s="322"/>
      <c r="I327" s="322"/>
      <c r="J327" s="210" t="s">
        <v>159</v>
      </c>
      <c r="K327" s="211">
        <v>4</v>
      </c>
      <c r="L327" s="321"/>
      <c r="M327" s="321"/>
      <c r="N327" s="321">
        <f>K327*L327</f>
        <v>0</v>
      </c>
      <c r="O327" s="298"/>
      <c r="P327" s="298"/>
      <c r="Q327" s="298"/>
      <c r="R327" s="173"/>
      <c r="T327" s="212" t="s">
        <v>293</v>
      </c>
      <c r="U327" s="213" t="s">
        <v>37</v>
      </c>
      <c r="V327" s="214">
        <v>0</v>
      </c>
      <c r="W327" s="214">
        <f t="shared" ref="W327:W328" si="70">V327*K327</f>
        <v>0</v>
      </c>
      <c r="X327" s="214">
        <v>3.0000000000000001E-3</v>
      </c>
      <c r="Y327" s="214">
        <f t="shared" ref="Y327:Y328" si="71">X327*K327</f>
        <v>1.2E-2</v>
      </c>
      <c r="Z327" s="214">
        <v>0</v>
      </c>
      <c r="AA327" s="215">
        <f t="shared" ref="AA327:AA328" si="72">Z327*K327</f>
        <v>0</v>
      </c>
      <c r="AR327" s="178" t="s">
        <v>139</v>
      </c>
      <c r="AT327" s="178" t="s">
        <v>180</v>
      </c>
      <c r="AU327" s="178" t="s">
        <v>82</v>
      </c>
      <c r="AY327" s="178" t="s">
        <v>115</v>
      </c>
      <c r="BE327" s="179">
        <f t="shared" ref="BE327:BE328" si="73">IF(U327="základní",N327,0)</f>
        <v>0</v>
      </c>
      <c r="BF327" s="179">
        <f t="shared" ref="BF327:BF328" si="74">IF(U327="snížená",N327,0)</f>
        <v>0</v>
      </c>
      <c r="BG327" s="179">
        <f t="shared" ref="BG327:BG328" si="75">IF(U327="zákl. přenesená",N327,0)</f>
        <v>0</v>
      </c>
      <c r="BH327" s="179">
        <f t="shared" ref="BH327:BH328" si="76">IF(U327="sníž. přenesená",N327,0)</f>
        <v>0</v>
      </c>
      <c r="BI327" s="179">
        <f t="shared" ref="BI327:BI328" si="77">IF(U327="nulová",N327,0)</f>
        <v>0</v>
      </c>
      <c r="BJ327" s="178" t="s">
        <v>18</v>
      </c>
      <c r="BK327" s="180">
        <f t="shared" ref="BK327:BK328" si="78">ROUND(L327*K327,3)</f>
        <v>0</v>
      </c>
      <c r="BL327" s="178" t="s">
        <v>120</v>
      </c>
      <c r="BM327" s="178" t="s">
        <v>343</v>
      </c>
    </row>
    <row r="328" spans="2:65" s="167" customFormat="1" ht="20.45" customHeight="1" x14ac:dyDescent="0.3">
      <c r="B328" s="168"/>
      <c r="C328" s="208">
        <v>145</v>
      </c>
      <c r="D328" s="208" t="s">
        <v>180</v>
      </c>
      <c r="E328" s="209" t="s">
        <v>344</v>
      </c>
      <c r="F328" s="322" t="s">
        <v>345</v>
      </c>
      <c r="G328" s="322"/>
      <c r="H328" s="322"/>
      <c r="I328" s="322"/>
      <c r="J328" s="210" t="s">
        <v>159</v>
      </c>
      <c r="K328" s="211">
        <v>4</v>
      </c>
      <c r="L328" s="321"/>
      <c r="M328" s="321"/>
      <c r="N328" s="321">
        <f>K328*L328</f>
        <v>0</v>
      </c>
      <c r="O328" s="298"/>
      <c r="P328" s="298"/>
      <c r="Q328" s="298"/>
      <c r="R328" s="173"/>
      <c r="T328" s="212" t="s">
        <v>293</v>
      </c>
      <c r="U328" s="213" t="s">
        <v>37</v>
      </c>
      <c r="V328" s="214">
        <v>0</v>
      </c>
      <c r="W328" s="214">
        <f t="shared" si="70"/>
        <v>0</v>
      </c>
      <c r="X328" s="214">
        <v>2.5000000000000001E-3</v>
      </c>
      <c r="Y328" s="214">
        <f t="shared" si="71"/>
        <v>0.01</v>
      </c>
      <c r="Z328" s="214">
        <v>0</v>
      </c>
      <c r="AA328" s="215">
        <f t="shared" si="72"/>
        <v>0</v>
      </c>
      <c r="AR328" s="178" t="s">
        <v>139</v>
      </c>
      <c r="AT328" s="178" t="s">
        <v>180</v>
      </c>
      <c r="AU328" s="178" t="s">
        <v>82</v>
      </c>
      <c r="AY328" s="178" t="s">
        <v>115</v>
      </c>
      <c r="BE328" s="179">
        <f t="shared" si="73"/>
        <v>0</v>
      </c>
      <c r="BF328" s="179">
        <f t="shared" si="74"/>
        <v>0</v>
      </c>
      <c r="BG328" s="179">
        <f t="shared" si="75"/>
        <v>0</v>
      </c>
      <c r="BH328" s="179">
        <f t="shared" si="76"/>
        <v>0</v>
      </c>
      <c r="BI328" s="179">
        <f t="shared" si="77"/>
        <v>0</v>
      </c>
      <c r="BJ328" s="178" t="s">
        <v>18</v>
      </c>
      <c r="BK328" s="180">
        <f t="shared" si="78"/>
        <v>0</v>
      </c>
      <c r="BL328" s="178" t="s">
        <v>120</v>
      </c>
      <c r="BM328" s="178" t="s">
        <v>346</v>
      </c>
    </row>
    <row r="329" spans="2:65" s="6" customFormat="1" ht="29.25" customHeight="1" x14ac:dyDescent="0.3">
      <c r="B329" s="19"/>
      <c r="C329" s="150">
        <v>146</v>
      </c>
      <c r="D329" s="150" t="s">
        <v>116</v>
      </c>
      <c r="E329" s="151" t="s">
        <v>281</v>
      </c>
      <c r="F329" s="320" t="s">
        <v>282</v>
      </c>
      <c r="G329" s="320"/>
      <c r="H329" s="320"/>
      <c r="I329" s="320"/>
      <c r="J329" s="152" t="s">
        <v>159</v>
      </c>
      <c r="K329" s="153">
        <v>8</v>
      </c>
      <c r="L329" s="299"/>
      <c r="M329" s="299"/>
      <c r="N329" s="299">
        <f t="shared" si="60"/>
        <v>0</v>
      </c>
      <c r="O329" s="299"/>
      <c r="P329" s="299"/>
      <c r="Q329" s="299"/>
      <c r="R329" s="20"/>
      <c r="T329" s="108"/>
      <c r="U329" s="26" t="s">
        <v>37</v>
      </c>
      <c r="V329" s="109">
        <v>8.3000000000000004E-2</v>
      </c>
      <c r="W329" s="109">
        <f>$V$323*$K$323</f>
        <v>5.6506400000000001</v>
      </c>
      <c r="X329" s="109">
        <v>1.0000000000000001E-5</v>
      </c>
      <c r="Y329" s="109">
        <f>$X$323*$K$323</f>
        <v>6.8080000000000007E-4</v>
      </c>
      <c r="Z329" s="109">
        <v>0</v>
      </c>
      <c r="AA329" s="110">
        <f>$Z$323*$K$323</f>
        <v>0</v>
      </c>
      <c r="AC329" s="138"/>
      <c r="AD329" s="138"/>
      <c r="AE329" s="138"/>
      <c r="AF329" s="138"/>
      <c r="AG329" s="138"/>
      <c r="AH329" s="138"/>
      <c r="AI329" s="138"/>
      <c r="AJ329" s="138"/>
      <c r="AR329" s="6" t="s">
        <v>120</v>
      </c>
      <c r="AT329" s="6" t="s">
        <v>116</v>
      </c>
      <c r="AU329" s="6" t="s">
        <v>82</v>
      </c>
      <c r="AY329" s="6" t="s">
        <v>115</v>
      </c>
      <c r="BE329" s="111">
        <f>IF($U$323="základní",$N$323,0)</f>
        <v>0</v>
      </c>
      <c r="BF329" s="111">
        <f>IF($U$323="snížená",$N$323,0)</f>
        <v>0</v>
      </c>
      <c r="BG329" s="111">
        <f>IF($U$323="zákl. přenesená",$N$323,0)</f>
        <v>0</v>
      </c>
      <c r="BH329" s="111">
        <f>IF($U$323="sníž. přenesená",$N$323,0)</f>
        <v>0</v>
      </c>
      <c r="BI329" s="111">
        <f>IF($U$323="nulová",$N$323,0)</f>
        <v>0</v>
      </c>
      <c r="BJ329" s="6" t="s">
        <v>18</v>
      </c>
      <c r="BK329" s="112">
        <f>ROUND($L$323*$K$323,3)</f>
        <v>0</v>
      </c>
      <c r="BL329" s="6" t="s">
        <v>120</v>
      </c>
    </row>
    <row r="330" spans="2:65" s="246" customFormat="1" ht="27" customHeight="1" x14ac:dyDescent="0.3">
      <c r="B330" s="19"/>
      <c r="C330" s="104">
        <v>147</v>
      </c>
      <c r="D330" s="104" t="s">
        <v>116</v>
      </c>
      <c r="E330" s="105" t="s">
        <v>183</v>
      </c>
      <c r="F330" s="286" t="s">
        <v>184</v>
      </c>
      <c r="G330" s="285"/>
      <c r="H330" s="285"/>
      <c r="I330" s="285"/>
      <c r="J330" s="106" t="s">
        <v>162</v>
      </c>
      <c r="K330" s="247">
        <v>3.214</v>
      </c>
      <c r="L330" s="287"/>
      <c r="M330" s="285"/>
      <c r="N330" s="287">
        <f>ROUND($L$316*$K$316,3)</f>
        <v>0</v>
      </c>
      <c r="O330" s="285"/>
      <c r="P330" s="285"/>
      <c r="Q330" s="285"/>
      <c r="R330" s="20"/>
      <c r="T330" s="108"/>
      <c r="U330" s="26" t="s">
        <v>37</v>
      </c>
      <c r="V330" s="109">
        <v>0.39</v>
      </c>
      <c r="W330" s="109">
        <f>$V$316*$K$316</f>
        <v>3.8695800000000005</v>
      </c>
      <c r="X330" s="109">
        <v>0</v>
      </c>
      <c r="Y330" s="109">
        <f>$X$316*$K$316</f>
        <v>0</v>
      </c>
      <c r="Z330" s="109">
        <v>0</v>
      </c>
      <c r="AA330" s="110">
        <f>$Z$316*$K$316</f>
        <v>0</v>
      </c>
      <c r="AC330" s="138"/>
      <c r="AD330" s="138"/>
      <c r="AE330" s="138"/>
      <c r="AF330" s="138"/>
      <c r="AG330" s="138"/>
      <c r="AH330" s="138"/>
      <c r="AI330" s="138"/>
      <c r="AJ330" s="138"/>
      <c r="AR330" s="246" t="s">
        <v>213</v>
      </c>
      <c r="AT330" s="246" t="s">
        <v>116</v>
      </c>
      <c r="AU330" s="246" t="s">
        <v>82</v>
      </c>
      <c r="AY330" s="246" t="s">
        <v>115</v>
      </c>
      <c r="BE330" s="111">
        <f>IF($U$316="základní",$N$316,0)</f>
        <v>0</v>
      </c>
      <c r="BF330" s="111">
        <f>IF($U$316="snížená",$N$316,0)</f>
        <v>0</v>
      </c>
      <c r="BG330" s="111">
        <f>IF($U$316="zákl. přenesená",$N$316,0)</f>
        <v>0</v>
      </c>
      <c r="BH330" s="111">
        <f>IF($U$316="sníž. přenesená",$N$316,0)</f>
        <v>0</v>
      </c>
      <c r="BI330" s="111">
        <f>IF($U$316="nulová",$N$316,0)</f>
        <v>0</v>
      </c>
      <c r="BJ330" s="246" t="s">
        <v>18</v>
      </c>
      <c r="BK330" s="112">
        <f>ROUND($L$316*$K$316,3)</f>
        <v>0</v>
      </c>
      <c r="BL330" s="246" t="s">
        <v>213</v>
      </c>
    </row>
    <row r="331" spans="2:65" s="6" customFormat="1" ht="29.25" customHeight="1" x14ac:dyDescent="0.3">
      <c r="B331" s="19"/>
      <c r="C331" s="150">
        <v>148</v>
      </c>
      <c r="D331" s="150" t="s">
        <v>116</v>
      </c>
      <c r="E331" s="151"/>
      <c r="F331" s="320" t="s">
        <v>283</v>
      </c>
      <c r="G331" s="320"/>
      <c r="H331" s="320"/>
      <c r="I331" s="320"/>
      <c r="J331" s="152" t="s">
        <v>284</v>
      </c>
      <c r="K331" s="153">
        <v>1</v>
      </c>
      <c r="L331" s="299"/>
      <c r="M331" s="299"/>
      <c r="N331" s="299">
        <f t="shared" si="60"/>
        <v>0</v>
      </c>
      <c r="O331" s="299"/>
      <c r="P331" s="299"/>
      <c r="Q331" s="299"/>
      <c r="R331" s="20"/>
      <c r="T331" s="108"/>
      <c r="U331" s="26" t="s">
        <v>37</v>
      </c>
      <c r="V331" s="109">
        <v>8.3000000000000004E-2</v>
      </c>
      <c r="W331" s="109">
        <f>$V$323*$K$323</f>
        <v>5.6506400000000001</v>
      </c>
      <c r="X331" s="109">
        <v>1.0000000000000001E-5</v>
      </c>
      <c r="Y331" s="109">
        <f>$X$323*$K$323</f>
        <v>6.8080000000000007E-4</v>
      </c>
      <c r="Z331" s="109">
        <v>0</v>
      </c>
      <c r="AA331" s="110">
        <f>$Z$323*$K$323</f>
        <v>0</v>
      </c>
      <c r="AC331" s="138"/>
      <c r="AD331" s="138"/>
      <c r="AE331" s="138"/>
      <c r="AF331" s="138"/>
      <c r="AG331" s="138"/>
      <c r="AH331" s="138"/>
      <c r="AI331" s="138"/>
      <c r="AJ331" s="138"/>
      <c r="AR331" s="6" t="s">
        <v>120</v>
      </c>
      <c r="AT331" s="6" t="s">
        <v>116</v>
      </c>
      <c r="AU331" s="6" t="s">
        <v>82</v>
      </c>
      <c r="AY331" s="6" t="s">
        <v>115</v>
      </c>
      <c r="BE331" s="111">
        <f>IF($U$323="základní",$N$323,0)</f>
        <v>0</v>
      </c>
      <c r="BF331" s="111">
        <f>IF($U$323="snížená",$N$323,0)</f>
        <v>0</v>
      </c>
      <c r="BG331" s="111">
        <f>IF($U$323="zákl. přenesená",$N$323,0)</f>
        <v>0</v>
      </c>
      <c r="BH331" s="111">
        <f>IF($U$323="sníž. přenesená",$N$323,0)</f>
        <v>0</v>
      </c>
      <c r="BI331" s="111">
        <f>IF($U$323="nulová",$N$323,0)</f>
        <v>0</v>
      </c>
      <c r="BJ331" s="6" t="s">
        <v>18</v>
      </c>
      <c r="BK331" s="112">
        <f>ROUND($L$323*$K$323,3)</f>
        <v>0</v>
      </c>
      <c r="BL331" s="6" t="s">
        <v>120</v>
      </c>
    </row>
    <row r="332" spans="2:65" s="94" customFormat="1" ht="30.75" customHeight="1" x14ac:dyDescent="0.3">
      <c r="B332" s="196"/>
      <c r="D332" s="197" t="s">
        <v>369</v>
      </c>
      <c r="E332" s="197"/>
      <c r="F332" s="197"/>
      <c r="G332" s="197"/>
      <c r="H332" s="197"/>
      <c r="I332" s="197"/>
      <c r="J332" s="197"/>
      <c r="K332" s="197"/>
      <c r="L332" s="197"/>
      <c r="M332" s="197"/>
      <c r="N332" s="294">
        <f>SUM(N333:Q335)</f>
        <v>0</v>
      </c>
      <c r="O332" s="295"/>
      <c r="P332" s="295"/>
      <c r="Q332" s="295"/>
      <c r="R332" s="198"/>
      <c r="T332" s="199"/>
      <c r="W332" s="200">
        <f>SUM($W$207:$W$210)</f>
        <v>206.25347951898883</v>
      </c>
      <c r="Y332" s="200">
        <f>SUM($Y$207:$Y$210)</f>
        <v>221.693904</v>
      </c>
      <c r="AA332" s="201">
        <f>SUM($AA$207:$AA$210)</f>
        <v>0</v>
      </c>
      <c r="AR332" s="202" t="s">
        <v>18</v>
      </c>
      <c r="AT332" s="202" t="s">
        <v>71</v>
      </c>
      <c r="AU332" s="202" t="s">
        <v>18</v>
      </c>
      <c r="AY332" s="202" t="s">
        <v>115</v>
      </c>
      <c r="BK332" s="203">
        <f>SUM($BK$207:$BK$210)</f>
        <v>0</v>
      </c>
    </row>
    <row r="333" spans="2:65" s="161" customFormat="1" ht="27" customHeight="1" x14ac:dyDescent="0.3">
      <c r="B333" s="19"/>
      <c r="C333" s="104">
        <v>149</v>
      </c>
      <c r="D333" s="104" t="s">
        <v>116</v>
      </c>
      <c r="E333" s="105" t="s">
        <v>370</v>
      </c>
      <c r="F333" s="296" t="s">
        <v>374</v>
      </c>
      <c r="G333" s="285"/>
      <c r="H333" s="285"/>
      <c r="I333" s="285"/>
      <c r="J333" s="106" t="s">
        <v>159</v>
      </c>
      <c r="K333" s="162">
        <v>3</v>
      </c>
      <c r="L333" s="287"/>
      <c r="M333" s="285"/>
      <c r="N333" s="287">
        <f>K333*L333</f>
        <v>0</v>
      </c>
      <c r="O333" s="285"/>
      <c r="P333" s="285"/>
      <c r="Q333" s="285"/>
      <c r="R333" s="20"/>
      <c r="T333" s="204"/>
      <c r="U333" s="205" t="s">
        <v>37</v>
      </c>
      <c r="V333" s="206">
        <v>2.5750000000000002</v>
      </c>
      <c r="W333" s="206">
        <f>$V$207*$K$207</f>
        <v>0</v>
      </c>
      <c r="X333" s="206">
        <v>0.35743999999999998</v>
      </c>
      <c r="Y333" s="206">
        <f>$X$207*$K$207</f>
        <v>0</v>
      </c>
      <c r="Z333" s="206">
        <v>0</v>
      </c>
      <c r="AA333" s="207">
        <f>$Z$207*$K$207</f>
        <v>0</v>
      </c>
      <c r="AR333" s="161" t="s">
        <v>120</v>
      </c>
      <c r="AT333" s="161" t="s">
        <v>116</v>
      </c>
      <c r="AU333" s="161" t="s">
        <v>82</v>
      </c>
      <c r="AY333" s="161" t="s">
        <v>115</v>
      </c>
      <c r="BE333" s="111">
        <f>IF($U$207="základní",$N$207,0)</f>
        <v>0</v>
      </c>
      <c r="BF333" s="111">
        <f>IF($U$207="snížená",$N$207,0)</f>
        <v>0</v>
      </c>
      <c r="BG333" s="111">
        <f>IF($U$207="zákl. přenesená",$N$207,0)</f>
        <v>0</v>
      </c>
      <c r="BH333" s="111">
        <f>IF($U$207="sníž. přenesená",$N$207,0)</f>
        <v>0</v>
      </c>
      <c r="BI333" s="111">
        <f>IF($U$207="nulová",$N$207,0)</f>
        <v>0</v>
      </c>
      <c r="BJ333" s="161" t="s">
        <v>18</v>
      </c>
      <c r="BK333" s="112">
        <f>ROUND($L$207*$K$207,3)</f>
        <v>0</v>
      </c>
      <c r="BL333" s="161" t="s">
        <v>120</v>
      </c>
      <c r="BM333" s="161" t="s">
        <v>371</v>
      </c>
    </row>
    <row r="334" spans="2:65" s="161" customFormat="1" ht="27" customHeight="1" x14ac:dyDescent="0.3">
      <c r="B334" s="19"/>
      <c r="C334" s="229">
        <v>150</v>
      </c>
      <c r="D334" s="229" t="s">
        <v>180</v>
      </c>
      <c r="E334" s="217"/>
      <c r="F334" s="288" t="s">
        <v>375</v>
      </c>
      <c r="G334" s="329"/>
      <c r="H334" s="329"/>
      <c r="I334" s="329"/>
      <c r="J334" s="216" t="s">
        <v>159</v>
      </c>
      <c r="K334" s="230">
        <v>3</v>
      </c>
      <c r="L334" s="330"/>
      <c r="M334" s="329"/>
      <c r="N334" s="330">
        <f>K334*L334</f>
        <v>0</v>
      </c>
      <c r="O334" s="285"/>
      <c r="P334" s="285"/>
      <c r="Q334" s="285"/>
      <c r="R334" s="20"/>
      <c r="T334" s="204"/>
      <c r="U334" s="205" t="s">
        <v>37</v>
      </c>
      <c r="V334" s="206">
        <v>0</v>
      </c>
      <c r="W334" s="206">
        <f>$V$209*$K$209</f>
        <v>17.338519999999999</v>
      </c>
      <c r="X334" s="206">
        <v>7.0000000000000007E-2</v>
      </c>
      <c r="Y334" s="206">
        <f>$X$209*$K$209</f>
        <v>221.693904</v>
      </c>
      <c r="Z334" s="206">
        <v>0</v>
      </c>
      <c r="AA334" s="207">
        <f>$Z$209*$K$209</f>
        <v>0</v>
      </c>
      <c r="AR334" s="161" t="s">
        <v>139</v>
      </c>
      <c r="AT334" s="161" t="s">
        <v>180</v>
      </c>
      <c r="AU334" s="161" t="s">
        <v>82</v>
      </c>
      <c r="AY334" s="161" t="s">
        <v>115</v>
      </c>
      <c r="BE334" s="111">
        <f>IF($U$209="základní",$N$209,0)</f>
        <v>0</v>
      </c>
      <c r="BF334" s="111">
        <f>IF($U$209="snížená",$N$209,0)</f>
        <v>0</v>
      </c>
      <c r="BG334" s="111">
        <f>IF($U$209="zákl. přenesená",$N$209,0)</f>
        <v>0</v>
      </c>
      <c r="BH334" s="111">
        <f>IF($U$209="sníž. přenesená",$N$209,0)</f>
        <v>0</v>
      </c>
      <c r="BI334" s="111">
        <f>IF($U$209="nulová",$N$209,0)</f>
        <v>0</v>
      </c>
      <c r="BJ334" s="161" t="s">
        <v>18</v>
      </c>
      <c r="BK334" s="112">
        <f>ROUND($L$209*$K$209,3)</f>
        <v>0</v>
      </c>
      <c r="BL334" s="161" t="s">
        <v>120</v>
      </c>
      <c r="BM334" s="161" t="s">
        <v>372</v>
      </c>
    </row>
    <row r="335" spans="2:65" s="161" customFormat="1" ht="27" customHeight="1" x14ac:dyDescent="0.3">
      <c r="B335" s="19"/>
      <c r="C335" s="104">
        <v>151</v>
      </c>
      <c r="D335" s="104" t="s">
        <v>116</v>
      </c>
      <c r="E335" s="105" t="s">
        <v>183</v>
      </c>
      <c r="F335" s="286" t="s">
        <v>184</v>
      </c>
      <c r="G335" s="285"/>
      <c r="H335" s="285"/>
      <c r="I335" s="285"/>
      <c r="J335" s="106" t="s">
        <v>162</v>
      </c>
      <c r="K335" s="162">
        <v>2.4569999999999999</v>
      </c>
      <c r="L335" s="287"/>
      <c r="M335" s="285"/>
      <c r="N335" s="287">
        <f>K335*L335</f>
        <v>0</v>
      </c>
      <c r="O335" s="285"/>
      <c r="P335" s="285"/>
      <c r="Q335" s="285"/>
      <c r="R335" s="20"/>
      <c r="T335" s="204"/>
      <c r="U335" s="205" t="s">
        <v>37</v>
      </c>
      <c r="V335" s="206">
        <v>0.39</v>
      </c>
      <c r="W335" s="206">
        <f>$V$210*$K$210</f>
        <v>152.83728751898883</v>
      </c>
      <c r="X335" s="206">
        <v>0</v>
      </c>
      <c r="Y335" s="206">
        <f>$X$210*$K$210</f>
        <v>0</v>
      </c>
      <c r="Z335" s="206">
        <v>0</v>
      </c>
      <c r="AA335" s="207">
        <f>$Z$210*$K$210</f>
        <v>0</v>
      </c>
      <c r="AR335" s="161" t="s">
        <v>120</v>
      </c>
      <c r="AT335" s="161" t="s">
        <v>116</v>
      </c>
      <c r="AU335" s="161" t="s">
        <v>82</v>
      </c>
      <c r="AY335" s="161" t="s">
        <v>115</v>
      </c>
      <c r="BE335" s="111">
        <f>IF($U$210="základní",$N$210,0)</f>
        <v>0</v>
      </c>
      <c r="BF335" s="111">
        <f>IF($U$210="snížená",$N$210,0)</f>
        <v>0</v>
      </c>
      <c r="BG335" s="111">
        <f>IF($U$210="zákl. přenesená",$N$210,0)</f>
        <v>0</v>
      </c>
      <c r="BH335" s="111">
        <f>IF($U$210="sníž. přenesená",$N$210,0)</f>
        <v>0</v>
      </c>
      <c r="BI335" s="111">
        <f>IF($U$210="nulová",$N$210,0)</f>
        <v>0</v>
      </c>
      <c r="BJ335" s="161" t="s">
        <v>18</v>
      </c>
      <c r="BK335" s="112">
        <f>ROUND($L$210*$K$210,3)</f>
        <v>0</v>
      </c>
      <c r="BL335" s="161" t="s">
        <v>120</v>
      </c>
      <c r="BM335" s="161" t="s">
        <v>373</v>
      </c>
    </row>
    <row r="336" spans="2:65" s="94" customFormat="1" ht="37.5" customHeight="1" x14ac:dyDescent="0.35">
      <c r="B336" s="95"/>
      <c r="D336" s="96" t="s">
        <v>99</v>
      </c>
      <c r="N336" s="331">
        <f>$BK$336</f>
        <v>0</v>
      </c>
      <c r="O336" s="301"/>
      <c r="P336" s="301"/>
      <c r="Q336" s="301"/>
      <c r="R336" s="98"/>
      <c r="T336" s="99"/>
      <c r="W336" s="100">
        <f>SUM($W$337:$W$341)</f>
        <v>0</v>
      </c>
      <c r="Y336" s="100">
        <f>SUM($Y$337:$Y$341)</f>
        <v>0</v>
      </c>
      <c r="AA336" s="101">
        <f>SUM($AA$337:$AA$341)</f>
        <v>0</v>
      </c>
      <c r="AC336" s="140"/>
      <c r="AD336" s="140"/>
      <c r="AE336" s="140"/>
      <c r="AF336" s="140"/>
      <c r="AG336" s="140"/>
      <c r="AH336" s="140"/>
      <c r="AI336" s="140"/>
      <c r="AJ336" s="140"/>
      <c r="AR336" s="97" t="s">
        <v>120</v>
      </c>
      <c r="AT336" s="97" t="s">
        <v>71</v>
      </c>
      <c r="AU336" s="97" t="s">
        <v>72</v>
      </c>
      <c r="AY336" s="97" t="s">
        <v>115</v>
      </c>
      <c r="BK336" s="102">
        <f>SUM($BK$337:$BK$341)</f>
        <v>0</v>
      </c>
    </row>
    <row r="337" spans="2:64" s="6" customFormat="1" ht="15.75" customHeight="1" x14ac:dyDescent="0.3">
      <c r="B337" s="19"/>
      <c r="C337" s="104">
        <v>152</v>
      </c>
      <c r="D337" s="104" t="s">
        <v>116</v>
      </c>
      <c r="E337" s="105" t="s">
        <v>246</v>
      </c>
      <c r="F337" s="286" t="s">
        <v>247</v>
      </c>
      <c r="G337" s="285"/>
      <c r="H337" s="285"/>
      <c r="I337" s="285"/>
      <c r="J337" s="106" t="s">
        <v>284</v>
      </c>
      <c r="K337" s="107">
        <v>1</v>
      </c>
      <c r="L337" s="287"/>
      <c r="M337" s="285"/>
      <c r="N337" s="287">
        <f>ROUND($L$337*$K$337,3)</f>
        <v>0</v>
      </c>
      <c r="O337" s="285"/>
      <c r="P337" s="285"/>
      <c r="Q337" s="285"/>
      <c r="R337" s="20"/>
      <c r="T337" s="108"/>
      <c r="U337" s="26" t="s">
        <v>37</v>
      </c>
      <c r="V337" s="109">
        <v>0</v>
      </c>
      <c r="W337" s="109">
        <f>$V$337*$K$337</f>
        <v>0</v>
      </c>
      <c r="X337" s="109">
        <v>0</v>
      </c>
      <c r="Y337" s="109">
        <f>$X$337*$K$337</f>
        <v>0</v>
      </c>
      <c r="Z337" s="109">
        <v>0</v>
      </c>
      <c r="AA337" s="110">
        <f>$Z$337*$K$337</f>
        <v>0</v>
      </c>
      <c r="AC337" s="138"/>
      <c r="AD337" s="138"/>
      <c r="AE337" s="138"/>
      <c r="AF337" s="138"/>
      <c r="AG337" s="138"/>
      <c r="AH337" s="138"/>
      <c r="AI337" s="138"/>
      <c r="AJ337" s="138"/>
      <c r="AR337" s="6" t="s">
        <v>248</v>
      </c>
      <c r="AT337" s="6" t="s">
        <v>116</v>
      </c>
      <c r="AU337" s="6" t="s">
        <v>18</v>
      </c>
      <c r="AY337" s="6" t="s">
        <v>115</v>
      </c>
      <c r="BE337" s="111">
        <f>IF($U$337="základní",$N$337,0)</f>
        <v>0</v>
      </c>
      <c r="BF337" s="111">
        <f>IF($U$337="snížená",$N$337,0)</f>
        <v>0</v>
      </c>
      <c r="BG337" s="111">
        <f>IF($U$337="zákl. přenesená",$N$337,0)</f>
        <v>0</v>
      </c>
      <c r="BH337" s="111">
        <f>IF($U$337="sníž. přenesená",$N$337,0)</f>
        <v>0</v>
      </c>
      <c r="BI337" s="111">
        <f>IF($U$337="nulová",$N$337,0)</f>
        <v>0</v>
      </c>
      <c r="BJ337" s="6" t="s">
        <v>18</v>
      </c>
      <c r="BK337" s="112">
        <f>ROUND($L$337*$K$337,3)</f>
        <v>0</v>
      </c>
      <c r="BL337" s="6" t="s">
        <v>248</v>
      </c>
    </row>
    <row r="338" spans="2:64" s="6" customFormat="1" ht="15.75" customHeight="1" x14ac:dyDescent="0.3">
      <c r="B338" s="19"/>
      <c r="C338" s="104">
        <v>153</v>
      </c>
      <c r="D338" s="104" t="s">
        <v>116</v>
      </c>
      <c r="E338" s="105" t="s">
        <v>249</v>
      </c>
      <c r="F338" s="286" t="s">
        <v>250</v>
      </c>
      <c r="G338" s="285"/>
      <c r="H338" s="285"/>
      <c r="I338" s="285"/>
      <c r="J338" s="106" t="s">
        <v>284</v>
      </c>
      <c r="K338" s="107">
        <v>1</v>
      </c>
      <c r="L338" s="287"/>
      <c r="M338" s="285"/>
      <c r="N338" s="287">
        <f>ROUND($L$338*$K$338,3)</f>
        <v>0</v>
      </c>
      <c r="O338" s="285"/>
      <c r="P338" s="285"/>
      <c r="Q338" s="285"/>
      <c r="R338" s="20"/>
      <c r="T338" s="108"/>
      <c r="U338" s="26" t="s">
        <v>37</v>
      </c>
      <c r="V338" s="109">
        <v>0</v>
      </c>
      <c r="W338" s="109">
        <f>$V$338*$K$338</f>
        <v>0</v>
      </c>
      <c r="X338" s="109">
        <v>0</v>
      </c>
      <c r="Y338" s="109">
        <f>$X$338*$K$338</f>
        <v>0</v>
      </c>
      <c r="Z338" s="109">
        <v>0</v>
      </c>
      <c r="AA338" s="110">
        <f>$Z$338*$K$338</f>
        <v>0</v>
      </c>
      <c r="AC338" s="138"/>
      <c r="AD338" s="138"/>
      <c r="AE338" s="138"/>
      <c r="AF338" s="138"/>
      <c r="AG338" s="138"/>
      <c r="AH338" s="138"/>
      <c r="AI338" s="138"/>
      <c r="AJ338" s="138"/>
      <c r="AR338" s="6" t="s">
        <v>248</v>
      </c>
      <c r="AT338" s="6" t="s">
        <v>116</v>
      </c>
      <c r="AU338" s="6" t="s">
        <v>18</v>
      </c>
      <c r="AY338" s="6" t="s">
        <v>115</v>
      </c>
      <c r="BE338" s="111">
        <f>IF($U$338="základní",$N$338,0)</f>
        <v>0</v>
      </c>
      <c r="BF338" s="111">
        <f>IF($U$338="snížená",$N$338,0)</f>
        <v>0</v>
      </c>
      <c r="BG338" s="111">
        <f>IF($U$338="zákl. přenesená",$N$338,0)</f>
        <v>0</v>
      </c>
      <c r="BH338" s="111">
        <f>IF($U$338="sníž. přenesená",$N$338,0)</f>
        <v>0</v>
      </c>
      <c r="BI338" s="111">
        <f>IF($U$338="nulová",$N$338,0)</f>
        <v>0</v>
      </c>
      <c r="BJ338" s="6" t="s">
        <v>18</v>
      </c>
      <c r="BK338" s="112">
        <f>ROUND($L$338*$K$338,3)</f>
        <v>0</v>
      </c>
      <c r="BL338" s="6" t="s">
        <v>248</v>
      </c>
    </row>
    <row r="339" spans="2:64" s="6" customFormat="1" ht="15.75" customHeight="1" x14ac:dyDescent="0.3">
      <c r="B339" s="19"/>
      <c r="C339" s="104">
        <v>154</v>
      </c>
      <c r="D339" s="104" t="s">
        <v>116</v>
      </c>
      <c r="E339" s="105" t="s">
        <v>251</v>
      </c>
      <c r="F339" s="286" t="s">
        <v>252</v>
      </c>
      <c r="G339" s="285"/>
      <c r="H339" s="285"/>
      <c r="I339" s="285"/>
      <c r="J339" s="106" t="s">
        <v>284</v>
      </c>
      <c r="K339" s="107">
        <v>1</v>
      </c>
      <c r="L339" s="287"/>
      <c r="M339" s="285"/>
      <c r="N339" s="287">
        <f>ROUND($L$339*$K$339,3)</f>
        <v>0</v>
      </c>
      <c r="O339" s="285"/>
      <c r="P339" s="285"/>
      <c r="Q339" s="285"/>
      <c r="R339" s="20"/>
      <c r="T339" s="108"/>
      <c r="U339" s="26" t="s">
        <v>37</v>
      </c>
      <c r="V339" s="109">
        <v>0</v>
      </c>
      <c r="W339" s="109">
        <f>$V$339*$K$339</f>
        <v>0</v>
      </c>
      <c r="X339" s="109">
        <v>0</v>
      </c>
      <c r="Y339" s="109">
        <f>$X$339*$K$339</f>
        <v>0</v>
      </c>
      <c r="Z339" s="109">
        <v>0</v>
      </c>
      <c r="AA339" s="110">
        <f>$Z$339*$K$339</f>
        <v>0</v>
      </c>
      <c r="AC339" s="138"/>
      <c r="AD339" s="138"/>
      <c r="AE339" s="138"/>
      <c r="AF339" s="138"/>
      <c r="AG339" s="138"/>
      <c r="AH339" s="138"/>
      <c r="AI339" s="138"/>
      <c r="AJ339" s="138"/>
      <c r="AR339" s="6" t="s">
        <v>253</v>
      </c>
      <c r="AT339" s="6" t="s">
        <v>116</v>
      </c>
      <c r="AU339" s="6" t="s">
        <v>18</v>
      </c>
      <c r="AY339" s="6" t="s">
        <v>115</v>
      </c>
      <c r="BE339" s="111">
        <f>IF($U$339="základní",$N$339,0)</f>
        <v>0</v>
      </c>
      <c r="BF339" s="111">
        <f>IF($U$339="snížená",$N$339,0)</f>
        <v>0</v>
      </c>
      <c r="BG339" s="111">
        <f>IF($U$339="zákl. přenesená",$N$339,0)</f>
        <v>0</v>
      </c>
      <c r="BH339" s="111">
        <f>IF($U$339="sníž. přenesená",$N$339,0)</f>
        <v>0</v>
      </c>
      <c r="BI339" s="111">
        <f>IF($U$339="nulová",$N$339,0)</f>
        <v>0</v>
      </c>
      <c r="BJ339" s="6" t="s">
        <v>18</v>
      </c>
      <c r="BK339" s="112">
        <f>ROUND($L$339*$K$339,3)</f>
        <v>0</v>
      </c>
      <c r="BL339" s="6" t="s">
        <v>253</v>
      </c>
    </row>
    <row r="340" spans="2:64" s="6" customFormat="1" ht="15.75" customHeight="1" x14ac:dyDescent="0.3">
      <c r="B340" s="19"/>
      <c r="C340" s="104">
        <v>155</v>
      </c>
      <c r="D340" s="104" t="s">
        <v>116</v>
      </c>
      <c r="E340" s="105" t="s">
        <v>254</v>
      </c>
      <c r="F340" s="286" t="s">
        <v>255</v>
      </c>
      <c r="G340" s="285"/>
      <c r="H340" s="285"/>
      <c r="I340" s="285"/>
      <c r="J340" s="106" t="s">
        <v>284</v>
      </c>
      <c r="K340" s="107">
        <v>1</v>
      </c>
      <c r="L340" s="287"/>
      <c r="M340" s="285"/>
      <c r="N340" s="287">
        <f>ROUND($L$340*$K$340,3)</f>
        <v>0</v>
      </c>
      <c r="O340" s="285"/>
      <c r="P340" s="285"/>
      <c r="Q340" s="285"/>
      <c r="R340" s="20"/>
      <c r="T340" s="108"/>
      <c r="U340" s="26" t="s">
        <v>37</v>
      </c>
      <c r="V340" s="109">
        <v>0</v>
      </c>
      <c r="W340" s="109">
        <f>$V$340*$K$340</f>
        <v>0</v>
      </c>
      <c r="X340" s="109">
        <v>0</v>
      </c>
      <c r="Y340" s="109">
        <f>$X$340*$K$340</f>
        <v>0</v>
      </c>
      <c r="Z340" s="109">
        <v>0</v>
      </c>
      <c r="AA340" s="110">
        <f>$Z$340*$K$340</f>
        <v>0</v>
      </c>
      <c r="AC340" s="138"/>
      <c r="AD340" s="138"/>
      <c r="AE340" s="138"/>
      <c r="AF340" s="138"/>
      <c r="AG340" s="138"/>
      <c r="AH340" s="138"/>
      <c r="AI340" s="138"/>
      <c r="AJ340" s="138"/>
      <c r="AR340" s="6" t="s">
        <v>253</v>
      </c>
      <c r="AT340" s="6" t="s">
        <v>116</v>
      </c>
      <c r="AU340" s="6" t="s">
        <v>18</v>
      </c>
      <c r="AY340" s="6" t="s">
        <v>115</v>
      </c>
      <c r="BE340" s="111">
        <f>IF($U$340="základní",$N$340,0)</f>
        <v>0</v>
      </c>
      <c r="BF340" s="111">
        <f>IF($U$340="snížená",$N$340,0)</f>
        <v>0</v>
      </c>
      <c r="BG340" s="111">
        <f>IF($U$340="zákl. přenesená",$N$340,0)</f>
        <v>0</v>
      </c>
      <c r="BH340" s="111">
        <f>IF($U$340="sníž. přenesená",$N$340,0)</f>
        <v>0</v>
      </c>
      <c r="BI340" s="111">
        <f>IF($U$340="nulová",$N$340,0)</f>
        <v>0</v>
      </c>
      <c r="BJ340" s="6" t="s">
        <v>18</v>
      </c>
      <c r="BK340" s="112">
        <f>ROUND($L$340*$K$340,3)</f>
        <v>0</v>
      </c>
      <c r="BL340" s="6" t="s">
        <v>253</v>
      </c>
    </row>
    <row r="341" spans="2:64" s="6" customFormat="1" ht="15.75" customHeight="1" x14ac:dyDescent="0.3">
      <c r="B341" s="19"/>
      <c r="C341" s="104">
        <v>156</v>
      </c>
      <c r="D341" s="104" t="s">
        <v>116</v>
      </c>
      <c r="E341" s="105" t="s">
        <v>256</v>
      </c>
      <c r="F341" s="286" t="s">
        <v>265</v>
      </c>
      <c r="G341" s="285"/>
      <c r="H341" s="285"/>
      <c r="I341" s="285"/>
      <c r="J341" s="106" t="s">
        <v>285</v>
      </c>
      <c r="K341" s="107">
        <v>1</v>
      </c>
      <c r="L341" s="287"/>
      <c r="M341" s="285"/>
      <c r="N341" s="287">
        <f>ROUND($L$341*$K$341,3)</f>
        <v>0</v>
      </c>
      <c r="O341" s="285"/>
      <c r="P341" s="285"/>
      <c r="Q341" s="285"/>
      <c r="R341" s="20"/>
      <c r="T341" s="108"/>
      <c r="U341" s="129" t="s">
        <v>37</v>
      </c>
      <c r="V341" s="130">
        <v>0</v>
      </c>
      <c r="W341" s="130">
        <f>$V$341*$K$341</f>
        <v>0</v>
      </c>
      <c r="X341" s="130">
        <v>0</v>
      </c>
      <c r="Y341" s="130">
        <f>$X$341*$K$341</f>
        <v>0</v>
      </c>
      <c r="Z341" s="130">
        <v>0</v>
      </c>
      <c r="AA341" s="131">
        <f>$Z$341*$K$341</f>
        <v>0</v>
      </c>
      <c r="AC341" s="138"/>
      <c r="AD341" s="138"/>
      <c r="AE341" s="138"/>
      <c r="AF341" s="138"/>
      <c r="AG341" s="138"/>
      <c r="AH341" s="138"/>
      <c r="AI341" s="138"/>
      <c r="AJ341" s="138"/>
      <c r="AR341" s="6" t="s">
        <v>253</v>
      </c>
      <c r="AT341" s="6" t="s">
        <v>116</v>
      </c>
      <c r="AU341" s="6" t="s">
        <v>18</v>
      </c>
      <c r="AY341" s="6" t="s">
        <v>115</v>
      </c>
      <c r="BE341" s="111">
        <f>IF($U$341="základní",$N$341,0)</f>
        <v>0</v>
      </c>
      <c r="BF341" s="111">
        <f>IF($U$341="snížená",$N$341,0)</f>
        <v>0</v>
      </c>
      <c r="BG341" s="111">
        <f>IF($U$341="zákl. přenesená",$N$341,0)</f>
        <v>0</v>
      </c>
      <c r="BH341" s="111">
        <f>IF($U$341="sníž. přenesená",$N$341,0)</f>
        <v>0</v>
      </c>
      <c r="BI341" s="111">
        <f>IF($U$341="nulová",$N$341,0)</f>
        <v>0</v>
      </c>
      <c r="BJ341" s="6" t="s">
        <v>18</v>
      </c>
      <c r="BK341" s="112">
        <f>ROUND($L$341*$K$341,3)</f>
        <v>0</v>
      </c>
      <c r="BL341" s="6" t="s">
        <v>253</v>
      </c>
    </row>
    <row r="342" spans="2:64" s="6" customFormat="1" ht="7.5" customHeight="1" x14ac:dyDescent="0.3">
      <c r="B342" s="41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3"/>
      <c r="AC342" s="138"/>
      <c r="AD342" s="138"/>
      <c r="AE342" s="138"/>
      <c r="AF342" s="138"/>
      <c r="AG342" s="138"/>
      <c r="AH342" s="138"/>
      <c r="AI342" s="138"/>
      <c r="AJ342" s="138"/>
    </row>
    <row r="343" spans="2:64" s="2" customFormat="1" ht="14.25" customHeight="1" x14ac:dyDescent="0.3">
      <c r="AC343" s="148"/>
      <c r="AD343" s="148"/>
      <c r="AE343" s="148"/>
      <c r="AF343" s="148"/>
      <c r="AG343" s="148"/>
      <c r="AH343" s="148"/>
      <c r="AI343" s="148"/>
      <c r="AJ343" s="148"/>
    </row>
  </sheetData>
  <mergeCells count="593">
    <mergeCell ref="F297:I297"/>
    <mergeCell ref="L297:M297"/>
    <mergeCell ref="N297:Q297"/>
    <mergeCell ref="F298:I298"/>
    <mergeCell ref="F318:I318"/>
    <mergeCell ref="L318:M318"/>
    <mergeCell ref="N318:Q318"/>
    <mergeCell ref="F319:I319"/>
    <mergeCell ref="F320:I320"/>
    <mergeCell ref="L320:M320"/>
    <mergeCell ref="N320:Q320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330:I330"/>
    <mergeCell ref="L330:M330"/>
    <mergeCell ref="N330:Q330"/>
    <mergeCell ref="F275:I275"/>
    <mergeCell ref="L275:M275"/>
    <mergeCell ref="N275:Q275"/>
    <mergeCell ref="F276:I276"/>
    <mergeCell ref="F277:I277"/>
    <mergeCell ref="L277:M277"/>
    <mergeCell ref="N277:Q277"/>
    <mergeCell ref="F278:I278"/>
    <mergeCell ref="L278:M278"/>
    <mergeCell ref="N278:Q278"/>
    <mergeCell ref="F279:I279"/>
    <mergeCell ref="F280:I280"/>
    <mergeCell ref="F281:I281"/>
    <mergeCell ref="L281:M281"/>
    <mergeCell ref="N281:Q281"/>
    <mergeCell ref="F282:I282"/>
    <mergeCell ref="F283:I283"/>
    <mergeCell ref="F284:I284"/>
    <mergeCell ref="L284:M284"/>
    <mergeCell ref="O13:P13"/>
    <mergeCell ref="O14:P14"/>
    <mergeCell ref="C2:Q2"/>
    <mergeCell ref="C4:Q4"/>
    <mergeCell ref="F6:P6"/>
    <mergeCell ref="O8:P8"/>
    <mergeCell ref="O10:P10"/>
    <mergeCell ref="O11:P11"/>
    <mergeCell ref="O16:P16"/>
    <mergeCell ref="O17:P17"/>
    <mergeCell ref="O19:P19"/>
    <mergeCell ref="O20:P20"/>
    <mergeCell ref="M23:P23"/>
    <mergeCell ref="M24:P24"/>
    <mergeCell ref="M26:P26"/>
    <mergeCell ref="H28:J28"/>
    <mergeCell ref="M28:P28"/>
    <mergeCell ref="H29:J29"/>
    <mergeCell ref="M29:P29"/>
    <mergeCell ref="H30:J30"/>
    <mergeCell ref="M30:P30"/>
    <mergeCell ref="H31:J31"/>
    <mergeCell ref="M31:P31"/>
    <mergeCell ref="H32:J32"/>
    <mergeCell ref="M32:P32"/>
    <mergeCell ref="L34:P34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3:Q93"/>
    <mergeCell ref="N94:Q94"/>
    <mergeCell ref="N95:Q95"/>
    <mergeCell ref="N96:Q96"/>
    <mergeCell ref="N97:Q97"/>
    <mergeCell ref="N98:Q98"/>
    <mergeCell ref="N110:Q110"/>
    <mergeCell ref="N99:Q99"/>
    <mergeCell ref="N100:Q100"/>
    <mergeCell ref="N101:Q101"/>
    <mergeCell ref="N102:Q102"/>
    <mergeCell ref="N103:Q103"/>
    <mergeCell ref="N104:Q104"/>
    <mergeCell ref="F129:I129"/>
    <mergeCell ref="L129:M129"/>
    <mergeCell ref="N129:Q129"/>
    <mergeCell ref="F133:I133"/>
    <mergeCell ref="L133:M133"/>
    <mergeCell ref="N133:Q133"/>
    <mergeCell ref="N130:Q130"/>
    <mergeCell ref="N131:Q131"/>
    <mergeCell ref="N132:Q132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3:I143"/>
    <mergeCell ref="L143:M143"/>
    <mergeCell ref="N143:Q143"/>
    <mergeCell ref="N142:Q142"/>
    <mergeCell ref="F145:I145"/>
    <mergeCell ref="L145:M145"/>
    <mergeCell ref="N145:Q145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F154:I154"/>
    <mergeCell ref="L154:M154"/>
    <mergeCell ref="N154:Q154"/>
    <mergeCell ref="F155:I155"/>
    <mergeCell ref="L155:M155"/>
    <mergeCell ref="N155:Q155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F162:I162"/>
    <mergeCell ref="F163:I163"/>
    <mergeCell ref="N172:Q172"/>
    <mergeCell ref="F174:I174"/>
    <mergeCell ref="L174:M174"/>
    <mergeCell ref="N174:Q174"/>
    <mergeCell ref="F173:I173"/>
    <mergeCell ref="L173:M173"/>
    <mergeCell ref="F164:I164"/>
    <mergeCell ref="F165:I165"/>
    <mergeCell ref="F166:I166"/>
    <mergeCell ref="L166:M166"/>
    <mergeCell ref="N166:Q166"/>
    <mergeCell ref="F167:I167"/>
    <mergeCell ref="L167:M167"/>
    <mergeCell ref="N167:Q167"/>
    <mergeCell ref="F168:I168"/>
    <mergeCell ref="F205:I205"/>
    <mergeCell ref="L205:M205"/>
    <mergeCell ref="N205:Q205"/>
    <mergeCell ref="F199:I199"/>
    <mergeCell ref="L199:M199"/>
    <mergeCell ref="N199:Q199"/>
    <mergeCell ref="F200:I200"/>
    <mergeCell ref="L200:M200"/>
    <mergeCell ref="N200:Q200"/>
    <mergeCell ref="F202:I202"/>
    <mergeCell ref="L202:M202"/>
    <mergeCell ref="N202:Q202"/>
    <mergeCell ref="F206:I206"/>
    <mergeCell ref="L206:M206"/>
    <mergeCell ref="N206:Q206"/>
    <mergeCell ref="F207:I207"/>
    <mergeCell ref="F209:I209"/>
    <mergeCell ref="L209:M209"/>
    <mergeCell ref="N209:Q209"/>
    <mergeCell ref="F210:I210"/>
    <mergeCell ref="L210:M210"/>
    <mergeCell ref="N210:Q210"/>
    <mergeCell ref="F212:I212"/>
    <mergeCell ref="L212:M212"/>
    <mergeCell ref="N212:Q212"/>
    <mergeCell ref="N211:Q211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L228:M228"/>
    <mergeCell ref="N228:Q228"/>
    <mergeCell ref="F229:I229"/>
    <mergeCell ref="L229:M229"/>
    <mergeCell ref="N229:Q229"/>
    <mergeCell ref="L232:M232"/>
    <mergeCell ref="N232:Q232"/>
    <mergeCell ref="F233:I233"/>
    <mergeCell ref="F223:I223"/>
    <mergeCell ref="L223:M223"/>
    <mergeCell ref="N223:Q223"/>
    <mergeCell ref="F224:I224"/>
    <mergeCell ref="F227:I227"/>
    <mergeCell ref="L227:M227"/>
    <mergeCell ref="N227:Q227"/>
    <mergeCell ref="F225:I225"/>
    <mergeCell ref="L225:M225"/>
    <mergeCell ref="N225:Q225"/>
    <mergeCell ref="F226:I226"/>
    <mergeCell ref="L226:M226"/>
    <mergeCell ref="N226:Q226"/>
    <mergeCell ref="F249:I249"/>
    <mergeCell ref="L249:M249"/>
    <mergeCell ref="N249:Q249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N244:Q244"/>
    <mergeCell ref="F245:I245"/>
    <mergeCell ref="L245:M245"/>
    <mergeCell ref="N245:Q245"/>
    <mergeCell ref="F246:I246"/>
    <mergeCell ref="L246:M246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70:I270"/>
    <mergeCell ref="L270:M270"/>
    <mergeCell ref="N270:Q270"/>
    <mergeCell ref="F271:I271"/>
    <mergeCell ref="L271:M271"/>
    <mergeCell ref="N271:Q271"/>
    <mergeCell ref="L260:M260"/>
    <mergeCell ref="N260:Q260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F261:I261"/>
    <mergeCell ref="L261:M261"/>
    <mergeCell ref="N261:Q261"/>
    <mergeCell ref="F262:I262"/>
    <mergeCell ref="F272:I272"/>
    <mergeCell ref="F273:I273"/>
    <mergeCell ref="L273:M273"/>
    <mergeCell ref="N273:Q273"/>
    <mergeCell ref="N274:Q274"/>
    <mergeCell ref="F299:I299"/>
    <mergeCell ref="L299:M299"/>
    <mergeCell ref="N299:Q299"/>
    <mergeCell ref="N284:Q284"/>
    <mergeCell ref="F285:I285"/>
    <mergeCell ref="L285:M285"/>
    <mergeCell ref="N285:Q285"/>
    <mergeCell ref="F286:I286"/>
    <mergeCell ref="F287:I287"/>
    <mergeCell ref="F288:I288"/>
    <mergeCell ref="L288:M288"/>
    <mergeCell ref="N288:Q288"/>
    <mergeCell ref="F289:I289"/>
    <mergeCell ref="F290:I290"/>
    <mergeCell ref="F300:I300"/>
    <mergeCell ref="L300:M300"/>
    <mergeCell ref="N300:Q300"/>
    <mergeCell ref="F303:I303"/>
    <mergeCell ref="L303:M303"/>
    <mergeCell ref="N303:Q303"/>
    <mergeCell ref="F304:I304"/>
    <mergeCell ref="L304:M304"/>
    <mergeCell ref="N304:Q304"/>
    <mergeCell ref="F306:I306"/>
    <mergeCell ref="L306:M306"/>
    <mergeCell ref="N306:Q306"/>
    <mergeCell ref="L331:M331"/>
    <mergeCell ref="N336:Q336"/>
    <mergeCell ref="N329:Q329"/>
    <mergeCell ref="F326:I326"/>
    <mergeCell ref="F254:I254"/>
    <mergeCell ref="L254:M254"/>
    <mergeCell ref="N254:Q254"/>
    <mergeCell ref="F308:I308"/>
    <mergeCell ref="L308:M308"/>
    <mergeCell ref="N308:Q308"/>
    <mergeCell ref="N331:Q331"/>
    <mergeCell ref="F335:I335"/>
    <mergeCell ref="F309:I309"/>
    <mergeCell ref="L309:M309"/>
    <mergeCell ref="N309:Q309"/>
    <mergeCell ref="F301:I301"/>
    <mergeCell ref="L301:M301"/>
    <mergeCell ref="N301:Q301"/>
    <mergeCell ref="F302:I302"/>
    <mergeCell ref="L302:M302"/>
    <mergeCell ref="N302:Q302"/>
    <mergeCell ref="F305:I305"/>
    <mergeCell ref="L305:M305"/>
    <mergeCell ref="N305:Q305"/>
    <mergeCell ref="F340:I340"/>
    <mergeCell ref="L340:M340"/>
    <mergeCell ref="N340:Q340"/>
    <mergeCell ref="F341:I341"/>
    <mergeCell ref="L341:M341"/>
    <mergeCell ref="N341:Q341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H1:K1"/>
    <mergeCell ref="N156:Q156"/>
    <mergeCell ref="N171:Q171"/>
    <mergeCell ref="N193:Q193"/>
    <mergeCell ref="N198:Q198"/>
    <mergeCell ref="N204:Q204"/>
    <mergeCell ref="N112:Q112"/>
    <mergeCell ref="N173:Q173"/>
    <mergeCell ref="F201:I201"/>
    <mergeCell ref="F203:I203"/>
    <mergeCell ref="F175:I175"/>
    <mergeCell ref="N203:Q203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46:I146"/>
    <mergeCell ref="L146:M146"/>
    <mergeCell ref="N146:Q146"/>
    <mergeCell ref="S2:AC2"/>
    <mergeCell ref="N222:Q222"/>
    <mergeCell ref="N230:Q230"/>
    <mergeCell ref="N248:Q248"/>
    <mergeCell ref="N269:Q269"/>
    <mergeCell ref="N216:Q216"/>
    <mergeCell ref="M127:Q127"/>
    <mergeCell ref="L203:M203"/>
    <mergeCell ref="L114:Q114"/>
    <mergeCell ref="C120:Q120"/>
    <mergeCell ref="F122:P122"/>
    <mergeCell ref="M124:P124"/>
    <mergeCell ref="M126:Q126"/>
    <mergeCell ref="N105:Q105"/>
    <mergeCell ref="N106:Q106"/>
    <mergeCell ref="N107:Q107"/>
    <mergeCell ref="N108:Q108"/>
    <mergeCell ref="N109:Q109"/>
    <mergeCell ref="N91:Q91"/>
    <mergeCell ref="N92:Q92"/>
    <mergeCell ref="F253:I253"/>
    <mergeCell ref="F169:I169"/>
    <mergeCell ref="F170:I170"/>
    <mergeCell ref="F172:I172"/>
    <mergeCell ref="F310:I310"/>
    <mergeCell ref="L310:M310"/>
    <mergeCell ref="N310:Q310"/>
    <mergeCell ref="F314:I314"/>
    <mergeCell ref="L314:M314"/>
    <mergeCell ref="N314:Q314"/>
    <mergeCell ref="L316:M316"/>
    <mergeCell ref="N316:Q316"/>
    <mergeCell ref="F322:I322"/>
    <mergeCell ref="L322:M322"/>
    <mergeCell ref="N322:Q322"/>
    <mergeCell ref="N317:Q317"/>
    <mergeCell ref="F311:I311"/>
    <mergeCell ref="L311:M311"/>
    <mergeCell ref="N311:Q311"/>
    <mergeCell ref="F321:I321"/>
    <mergeCell ref="L321:M321"/>
    <mergeCell ref="N321:Q321"/>
    <mergeCell ref="F176:I176"/>
    <mergeCell ref="L176:M176"/>
    <mergeCell ref="N176:Q176"/>
    <mergeCell ref="F177:I177"/>
    <mergeCell ref="L177:M177"/>
    <mergeCell ref="N177:Q177"/>
    <mergeCell ref="N178:Q178"/>
    <mergeCell ref="F186:I186"/>
    <mergeCell ref="L186:M186"/>
    <mergeCell ref="N186:Q186"/>
    <mergeCell ref="F188:I188"/>
    <mergeCell ref="L188:M188"/>
    <mergeCell ref="N188:Q188"/>
    <mergeCell ref="N187:Q187"/>
    <mergeCell ref="N246:Q246"/>
    <mergeCell ref="F247:I247"/>
    <mergeCell ref="L247:M247"/>
    <mergeCell ref="N247:Q247"/>
    <mergeCell ref="N238:Q238"/>
    <mergeCell ref="F239:I239"/>
    <mergeCell ref="L239:M239"/>
    <mergeCell ref="N239:Q239"/>
    <mergeCell ref="F240:I240"/>
    <mergeCell ref="L240:M240"/>
    <mergeCell ref="N240:Q240"/>
    <mergeCell ref="F190:I190"/>
    <mergeCell ref="F191:I191"/>
    <mergeCell ref="L191:M191"/>
    <mergeCell ref="N191:Q191"/>
    <mergeCell ref="F192:I192"/>
    <mergeCell ref="L192:M192"/>
    <mergeCell ref="N192:Q192"/>
    <mergeCell ref="F236:I236"/>
    <mergeCell ref="L236:M236"/>
    <mergeCell ref="F147:I147"/>
    <mergeCell ref="L147:M147"/>
    <mergeCell ref="N147:Q147"/>
    <mergeCell ref="F144:I144"/>
    <mergeCell ref="L144:M144"/>
    <mergeCell ref="N144:Q144"/>
    <mergeCell ref="F182:I182"/>
    <mergeCell ref="F185:I185"/>
    <mergeCell ref="L185:M185"/>
    <mergeCell ref="N185:Q185"/>
    <mergeCell ref="F183:I183"/>
    <mergeCell ref="L183:M183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N183:Q183"/>
    <mergeCell ref="F184:I184"/>
    <mergeCell ref="L172:M172"/>
    <mergeCell ref="N236:Q236"/>
    <mergeCell ref="F237:I237"/>
    <mergeCell ref="L237:M237"/>
    <mergeCell ref="N237:Q237"/>
    <mergeCell ref="F231:I231"/>
    <mergeCell ref="L231:M231"/>
    <mergeCell ref="N231:Q231"/>
    <mergeCell ref="F232:I232"/>
    <mergeCell ref="F189:I189"/>
    <mergeCell ref="L189:M189"/>
    <mergeCell ref="N189:Q189"/>
    <mergeCell ref="F194:I194"/>
    <mergeCell ref="F208:I208"/>
    <mergeCell ref="L208:M208"/>
    <mergeCell ref="N208:Q208"/>
    <mergeCell ref="L194:M194"/>
    <mergeCell ref="N194:Q194"/>
    <mergeCell ref="F235:I235"/>
    <mergeCell ref="L235:M235"/>
    <mergeCell ref="N235:Q235"/>
    <mergeCell ref="F234:I234"/>
    <mergeCell ref="L234:M234"/>
    <mergeCell ref="N234:Q234"/>
    <mergeCell ref="F228:I228"/>
    <mergeCell ref="F259:I259"/>
    <mergeCell ref="L259:M259"/>
    <mergeCell ref="N259:Q259"/>
    <mergeCell ref="F260:I260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L266:M266"/>
    <mergeCell ref="N266:Q266"/>
    <mergeCell ref="F267:I267"/>
    <mergeCell ref="L267:M267"/>
    <mergeCell ref="N267:Q267"/>
    <mergeCell ref="N332:Q332"/>
    <mergeCell ref="F333:I333"/>
    <mergeCell ref="L333:M333"/>
    <mergeCell ref="N333:Q333"/>
    <mergeCell ref="F324:I324"/>
    <mergeCell ref="L324:M324"/>
    <mergeCell ref="N324:Q324"/>
    <mergeCell ref="F323:I323"/>
    <mergeCell ref="L323:M323"/>
    <mergeCell ref="N323:Q323"/>
    <mergeCell ref="F316:I316"/>
    <mergeCell ref="L326:M326"/>
    <mergeCell ref="N326:Q326"/>
    <mergeCell ref="N307:Q307"/>
    <mergeCell ref="F268:I268"/>
    <mergeCell ref="L268:M268"/>
    <mergeCell ref="N268:Q268"/>
    <mergeCell ref="F329:I329"/>
    <mergeCell ref="L329:M329"/>
    <mergeCell ref="F312:I312"/>
    <mergeCell ref="L312:M312"/>
    <mergeCell ref="N312:Q312"/>
    <mergeCell ref="F315:I315"/>
    <mergeCell ref="L315:M315"/>
    <mergeCell ref="N315:Q315"/>
    <mergeCell ref="L335:M335"/>
    <mergeCell ref="N335:Q335"/>
    <mergeCell ref="F313:I313"/>
    <mergeCell ref="L313:M313"/>
    <mergeCell ref="N313:Q313"/>
    <mergeCell ref="L328:M328"/>
    <mergeCell ref="N328:Q328"/>
    <mergeCell ref="F325:I325"/>
    <mergeCell ref="F327:I327"/>
    <mergeCell ref="L327:M327"/>
    <mergeCell ref="N327:Q327"/>
    <mergeCell ref="F328:I328"/>
    <mergeCell ref="F334:I334"/>
    <mergeCell ref="L334:M334"/>
    <mergeCell ref="N334:Q334"/>
    <mergeCell ref="L325:M325"/>
    <mergeCell ref="N325:Q325"/>
    <mergeCell ref="F331:I331"/>
  </mergeCells>
  <hyperlinks>
    <hyperlink ref="F1:G1" location="C2" tooltip="Krycí list rozpočtu" display="1) Krycí list rozpočtu"/>
    <hyperlink ref="H1:K1" location="C85" tooltip="Rekapitulace rozpočtu" display="2) Rekapitulace rozpočtu"/>
    <hyperlink ref="L1" location="C129" tooltip="Rozpočet" display="3) Rozpočet"/>
    <hyperlink ref="S1:T1" location="'Rekapitulace stavby'!C2" tooltip="Rekapitulace stavby" display="Rekapitulace stavby"/>
  </hyperlinks>
  <pageMargins left="0.59027779102325439" right="0.59027779102325439" top="0.59027779102325439" bottom="0.59027779102325439" header="0" footer="0"/>
  <pageSetup paperSize="9" scale="95" fitToHeight="100" orientation="portrait" blackAndWhite="1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Na Náměti</vt:lpstr>
      <vt:lpstr>'Na Náměti'!Názvy_tisku</vt:lpstr>
      <vt:lpstr>'Rekapitulace stavby'!Názvy_tisku</vt:lpstr>
      <vt:lpstr>'Na Náměti'!Oblast_tisku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Efisek2</dc:creator>
  <cp:lastModifiedBy>Efisek2</cp:lastModifiedBy>
  <dcterms:created xsi:type="dcterms:W3CDTF">2014-04-09T19:08:13Z</dcterms:created>
  <dcterms:modified xsi:type="dcterms:W3CDTF">2017-07-23T14:39:40Z</dcterms:modified>
</cp:coreProperties>
</file>